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ME" sheetId="1" state="visible" r:id="rId1"/>
    <sheet xmlns:r="http://schemas.openxmlformats.org/officeDocument/2006/relationships" name="マスター" sheetId="2" state="hidden" r:id="rId2"/>
    <sheet xmlns:r="http://schemas.openxmlformats.org/officeDocument/2006/relationships" name="TOP" sheetId="3" state="visible" r:id="rId3"/>
    <sheet xmlns:r="http://schemas.openxmlformats.org/officeDocument/2006/relationships" name="1月" sheetId="4" state="visible" r:id="rId4"/>
    <sheet xmlns:r="http://schemas.openxmlformats.org/officeDocument/2006/relationships" name="設定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¥#,##0"/>
    <numFmt numFmtId="165" formatCode="¥#,##0;¥-#,##0"/>
    <numFmt numFmtId="166" formatCode="0.0%"/>
  </numFmts>
  <fonts count="20">
    <font>
      <name val="Arial"/>
      <color rgb="FF000000"/>
      <sz val="10"/>
      <scheme val="minor"/>
    </font>
    <font>
      <name val="Zen Maru Gothic"/>
      <b val="1"/>
      <color rgb="FFFFFFFF"/>
      <sz val="18"/>
    </font>
    <font>
      <name val="Arial"/>
      <color rgb="FF5C3C49"/>
      <sz val="11"/>
      <scheme val="minor"/>
    </font>
    <font>
      <name val="Arial"/>
      <b val="1"/>
      <color rgb="FF5C3C49"/>
      <scheme val="minor"/>
    </font>
    <font>
      <name val="Zen Maru Gothic"/>
      <b val="1"/>
      <color theme="1"/>
      <sz val="13"/>
    </font>
    <font>
      <name val="Arial"/>
      <color theme="1"/>
      <scheme val="minor"/>
    </font>
    <font>
      <name val="Arial"/>
      <b val="1"/>
      <color rgb="FF5C3C49"/>
      <sz val="10"/>
      <scheme val="minor"/>
    </font>
    <font>
      <name val="Zen Maru Gothic"/>
      <b val="1"/>
      <color rgb="FFFFFFFF"/>
      <sz val="12"/>
    </font>
    <font>
      <name val="Arial"/>
      <color theme="1"/>
      <sz val="10"/>
      <scheme val="minor"/>
    </font>
    <font>
      <name val="Arial"/>
      <color rgb="FF5C3C49"/>
      <sz val="10"/>
      <scheme val="minor"/>
    </font>
    <font>
      <name val="Zen Maru Gothic"/>
      <b val="1"/>
      <color rgb="FF5C3C49"/>
      <sz val="16"/>
    </font>
    <font>
      <name val="Zen Maru Gothic"/>
      <b val="1"/>
      <color rgb="FFFFFFFF"/>
      <sz val="13"/>
    </font>
    <font>
      <name val="Arial"/>
      <b val="1"/>
      <color theme="1"/>
      <sz val="13"/>
      <scheme val="minor"/>
    </font>
    <font>
      <name val="Arial"/>
      <b val="1"/>
      <color rgb="FF5C3C49"/>
      <sz val="11"/>
      <scheme val="minor"/>
    </font>
    <font>
      <name val="Arial"/>
      <b val="1"/>
      <color theme="1"/>
      <scheme val="minor"/>
    </font>
    <font>
      <name val="Zen Maru Gothic"/>
      <b val="1"/>
      <color rgb="FFFFFFFF"/>
      <sz val="14"/>
    </font>
    <font>
      <name val="Zen Maru Gothic"/>
      <b val="1"/>
      <color rgb="FF5C3C49"/>
      <sz val="12"/>
    </font>
    <font>
      <name val="Zen Maru Gothic"/>
      <b val="1"/>
      <color rgb="FF5C3C49"/>
      <sz val="13"/>
    </font>
    <font>
      <name val="Arial"/>
      <b val="1"/>
      <color rgb="FF5C3C49"/>
      <sz val="14"/>
      <scheme val="minor"/>
    </font>
    <font>
      <name val="Arial"/>
      <i val="1"/>
      <color rgb="FF996666"/>
      <scheme val="minor"/>
    </font>
  </fonts>
  <fills count="8">
    <fill>
      <patternFill/>
    </fill>
    <fill>
      <patternFill patternType="lightGray"/>
    </fill>
    <fill>
      <patternFill patternType="solid">
        <fgColor rgb="FFF1C4CE"/>
        <bgColor rgb="FFF1C4CE"/>
      </patternFill>
    </fill>
    <fill>
      <patternFill patternType="solid">
        <fgColor rgb="FFFFFAFB"/>
        <bgColor rgb="FFFFFAFB"/>
      </patternFill>
    </fill>
    <fill>
      <patternFill patternType="solid">
        <fgColor rgb="FFF3D3DA"/>
        <bgColor rgb="FFF3D3DA"/>
      </patternFill>
    </fill>
    <fill>
      <patternFill patternType="solid">
        <fgColor rgb="FFFFFFFF"/>
        <bgColor rgb="FFFFFFFF"/>
      </patternFill>
    </fill>
    <fill>
      <patternFill patternType="solid">
        <fgColor rgb="FFFDEFF3"/>
        <bgColor rgb="FFFDEFF3"/>
      </patternFill>
    </fill>
    <fill>
      <patternFill patternType="solid">
        <fgColor rgb="FFA8D7B9"/>
        <bgColor rgb="FFA8D7B9"/>
      </patternFill>
    </fill>
  </fills>
  <borders count="1">
    <border/>
  </borders>
  <cellStyleXfs count="1">
    <xf numFmtId="0" fontId="0" fillId="0" borderId="0"/>
  </cellStyleXfs>
  <cellXfs count="7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pivotButton="0" quotePrefix="0" xfId="0"/>
    <xf numFmtId="0" fontId="4" fillId="4" borderId="0" applyAlignment="1" pivotButton="0" quotePrefix="0" xfId="0">
      <alignment vertical="center"/>
    </xf>
    <xf numFmtId="0" fontId="3" fillId="4" borderId="0" pivotButton="0" quotePrefix="0" xfId="0"/>
    <xf numFmtId="0" fontId="4" fillId="4" borderId="0" applyAlignment="1" pivotButton="0" quotePrefix="0" xfId="0">
      <alignment vertical="center"/>
    </xf>
    <xf numFmtId="0" fontId="5" fillId="0" borderId="0" pivotButton="0" quotePrefix="0" xfId="0"/>
    <xf numFmtId="0" fontId="6" fillId="5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49" fontId="7" fillId="2" borderId="0" applyAlignment="1" pivotButton="0" quotePrefix="0" xfId="0">
      <alignment horizontal="left" vertical="center"/>
    </xf>
    <xf numFmtId="49" fontId="8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49" fontId="9" fillId="5" borderId="0" applyAlignment="1" pivotButton="0" quotePrefix="0" xfId="0">
      <alignment horizontal="left" vertical="center"/>
    </xf>
    <xf numFmtId="0" fontId="9" fillId="5" borderId="0" applyAlignment="1" pivotButton="0" quotePrefix="0" xfId="0">
      <alignment vertical="center"/>
    </xf>
    <xf numFmtId="164" fontId="9" fillId="5" borderId="0" applyAlignment="1" pivotButton="0" quotePrefix="0" xfId="0">
      <alignment horizontal="right" vertical="center"/>
    </xf>
    <xf numFmtId="0" fontId="5" fillId="0" borderId="0" pivotButton="0" quotePrefix="0" xfId="0"/>
    <xf numFmtId="49" fontId="9" fillId="0" borderId="0" applyAlignment="1" pivotButton="0" quotePrefix="0" xfId="0">
      <alignment horizontal="left" vertical="center"/>
    </xf>
    <xf numFmtId="49" fontId="6" fillId="4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164" fontId="6" fillId="0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0" fontId="2" fillId="3" borderId="0" applyAlignment="1" pivotButton="0" quotePrefix="0" xfId="0">
      <alignment vertical="center"/>
    </xf>
    <xf numFmtId="49" fontId="9" fillId="5" borderId="0" applyAlignment="1" pivotButton="0" quotePrefix="0" xfId="0">
      <alignment horizontal="left" vertical="center"/>
    </xf>
    <xf numFmtId="164" fontId="9" fillId="5" borderId="0" applyAlignment="1" pivotButton="0" quotePrefix="0" xfId="0">
      <alignment horizontal="right" vertical="center"/>
    </xf>
    <xf numFmtId="164" fontId="9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vertical="center"/>
    </xf>
    <xf numFmtId="164" fontId="5" fillId="0" borderId="0" applyAlignment="1" pivotButton="0" quotePrefix="0" xfId="0">
      <alignment horizontal="right" vertical="center"/>
    </xf>
    <xf numFmtId="0" fontId="4" fillId="4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164" fontId="5" fillId="0" borderId="0" applyAlignment="1" pivotButton="0" quotePrefix="0" xfId="0">
      <alignment horizontal="right" vertical="center"/>
    </xf>
    <xf numFmtId="164" fontId="9" fillId="0" borderId="0" applyAlignment="1" pivotButton="0" quotePrefix="0" xfId="0">
      <alignment horizontal="right" vertical="center"/>
    </xf>
    <xf numFmtId="0" fontId="5" fillId="0" borderId="0" pivotButton="0" quotePrefix="0" xfId="0"/>
    <xf numFmtId="0" fontId="10" fillId="6" borderId="0" applyAlignment="1" pivotButton="0" quotePrefix="0" xfId="0">
      <alignment horizontal="center"/>
    </xf>
    <xf numFmtId="0" fontId="11" fillId="2" borderId="0" pivotButton="0" quotePrefix="0" xfId="0"/>
    <xf numFmtId="0" fontId="11" fillId="2" borderId="0" pivotButton="0" quotePrefix="0" xfId="0"/>
    <xf numFmtId="0" fontId="3" fillId="4" borderId="0" applyAlignment="1" pivotButton="0" quotePrefix="0" xfId="0">
      <alignment horizontal="center"/>
    </xf>
    <xf numFmtId="0" fontId="3" fillId="4" borderId="0" applyAlignment="1" pivotButton="0" quotePrefix="0" xfId="0">
      <alignment horizontal="center"/>
    </xf>
    <xf numFmtId="0" fontId="5" fillId="0" borderId="0" pivotButton="0" quotePrefix="0" xfId="0"/>
    <xf numFmtId="165" fontId="12" fillId="0" borderId="0" applyAlignment="1" pivotButton="0" quotePrefix="0" xfId="0">
      <alignment horizontal="right"/>
    </xf>
    <xf numFmtId="0" fontId="5" fillId="0" borderId="0" pivotButton="0" quotePrefix="0" xfId="0"/>
    <xf numFmtId="164" fontId="9" fillId="5" borderId="0" applyAlignment="1" pivotButton="0" quotePrefix="0" xfId="0">
      <alignment horizontal="right" vertical="center"/>
    </xf>
    <xf numFmtId="49" fontId="9" fillId="0" borderId="0" applyAlignment="1" pivotButton="0" quotePrefix="0" xfId="0">
      <alignment horizontal="left" vertical="center"/>
    </xf>
    <xf numFmtId="165" fontId="5" fillId="0" borderId="0" applyAlignment="1" pivotButton="0" quotePrefix="0" xfId="0">
      <alignment horizontal="right"/>
    </xf>
    <xf numFmtId="49" fontId="13" fillId="6" borderId="0" applyAlignment="1" pivotButton="0" quotePrefix="0" xfId="0">
      <alignment horizontal="left" vertical="center"/>
    </xf>
    <xf numFmtId="164" fontId="13" fillId="6" borderId="0" applyAlignment="1" pivotButton="0" quotePrefix="0" xfId="0">
      <alignment horizontal="right" vertical="center"/>
    </xf>
    <xf numFmtId="164" fontId="13" fillId="0" borderId="0" applyAlignment="1" pivotButton="0" quotePrefix="0" xfId="0">
      <alignment horizontal="right" vertical="center"/>
    </xf>
    <xf numFmtId="49" fontId="9" fillId="5" borderId="0" applyAlignment="1" pivotButton="0" quotePrefix="0" xfId="0">
      <alignment horizontal="left" vertical="center"/>
    </xf>
    <xf numFmtId="164" fontId="9" fillId="5" borderId="0" applyAlignment="1" pivotButton="0" quotePrefix="0" xfId="0">
      <alignment horizontal="right" vertical="center"/>
    </xf>
    <xf numFmtId="0" fontId="14" fillId="4" borderId="0" pivotButton="0" quotePrefix="0" xfId="0"/>
    <xf numFmtId="165" fontId="14" fillId="4" borderId="0" applyAlignment="1" pivotButton="0" quotePrefix="0" xfId="0">
      <alignment horizontal="right"/>
    </xf>
    <xf numFmtId="0" fontId="14" fillId="4" borderId="0" pivotButton="0" quotePrefix="0" xfId="0"/>
    <xf numFmtId="49" fontId="15" fillId="0" borderId="0" applyAlignment="1" pivotButton="0" quotePrefix="0" xfId="0">
      <alignment horizontal="left" vertical="center"/>
    </xf>
    <xf numFmtId="49" fontId="6" fillId="4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164" fontId="6" fillId="4" borderId="0" applyAlignment="1" pivotButton="0" quotePrefix="0" xfId="0">
      <alignment horizontal="center" vertical="center"/>
    </xf>
    <xf numFmtId="164" fontId="5" fillId="0" borderId="0" applyAlignment="1" pivotButton="0" quotePrefix="0" xfId="0">
      <alignment horizontal="right"/>
    </xf>
    <xf numFmtId="166" fontId="5" fillId="0" borderId="0" applyAlignment="1" pivotButton="0" quotePrefix="0" xfId="0">
      <alignment horizontal="right"/>
    </xf>
    <xf numFmtId="49" fontId="2" fillId="3" borderId="0" applyAlignment="1" pivotButton="0" quotePrefix="0" xfId="0">
      <alignment horizontal="left" vertical="center"/>
    </xf>
    <xf numFmtId="164" fontId="2" fillId="3" borderId="0" applyAlignment="1" pivotButton="0" quotePrefix="0" xfId="0">
      <alignment horizontal="right" vertical="center"/>
    </xf>
    <xf numFmtId="165" fontId="2" fillId="3" borderId="0" applyAlignment="1" pivotButton="0" quotePrefix="0" xfId="0">
      <alignment horizontal="right" vertical="center"/>
    </xf>
    <xf numFmtId="165" fontId="13" fillId="6" borderId="0" applyAlignment="1" pivotButton="0" quotePrefix="0" xfId="0">
      <alignment horizontal="right" vertical="center"/>
    </xf>
    <xf numFmtId="49" fontId="16" fillId="7" borderId="0" applyAlignment="1" pivotButton="0" quotePrefix="0" xfId="0">
      <alignment horizontal="center" vertical="center"/>
    </xf>
    <xf numFmtId="0" fontId="16" fillId="7" borderId="0" applyAlignment="1" pivotButton="0" quotePrefix="0" xfId="0">
      <alignment horizontal="center" vertical="center"/>
    </xf>
    <xf numFmtId="49" fontId="17" fillId="0" borderId="0" applyAlignment="1" pivotButton="0" quotePrefix="0" xfId="0">
      <alignment horizontal="left" vertical="center"/>
    </xf>
    <xf numFmtId="0" fontId="13" fillId="6" borderId="0" pivotButton="0" quotePrefix="0" xfId="0"/>
    <xf numFmtId="0" fontId="18" fillId="5" borderId="0" applyAlignment="1" pivotButton="0" quotePrefix="0" xfId="0">
      <alignment horizontal="center"/>
    </xf>
    <xf numFmtId="0" fontId="2" fillId="6" borderId="0" pivotButton="0" quotePrefix="0" xfId="0"/>
    <xf numFmtId="0" fontId="2" fillId="6" borderId="0" pivotButton="0" quotePrefix="0" xfId="0"/>
    <xf numFmtId="0" fontId="18" fillId="5" borderId="0" applyAlignment="1" pivotButton="0" quotePrefix="0" xfId="0">
      <alignment horizontal="center"/>
    </xf>
    <xf numFmtId="0" fontId="18" fillId="5" borderId="0" applyAlignment="1" pivotButton="0" quotePrefix="0" xfId="0">
      <alignment horizontal="center"/>
    </xf>
    <xf numFmtId="0" fontId="3" fillId="4" borderId="0" pivotButton="0" quotePrefix="0" xfId="0"/>
    <xf numFmtId="0" fontId="19" fillId="4" borderId="0" pivotButton="0" quotePrefix="0" xfId="0"/>
    <xf numFmtId="0" fontId="5" fillId="5" borderId="0" pivotButton="0" quotePrefix="0" xfId="0"/>
    <xf numFmtId="0" fontId="5" fillId="5" borderId="0" pivotButton="0" quotePrefix="0" xfId="0"/>
    <xf numFmtId="0" fontId="5" fillId="0" borderId="0" pivotButton="0" quotePrefix="0" xfId="0"/>
    <xf numFmtId="0" fontId="0" fillId="0" borderId="0" pivotButton="0" quotePrefix="0" xfId="0"/>
  </cellXfs>
  <cellStyles count="1">
    <cellStyle name="Normal" xfId="0" builtinId="0"/>
  </cellStyles>
  <dxfs count="3">
    <dxf>
      <font/>
      <fill>
        <patternFill/>
      </fill>
      <border/>
    </dxf>
    <dxf>
      <font/>
      <fill>
        <patternFill patternType="solid">
          <fgColor rgb="FFFFFAFB"/>
          <bgColor rgb="FFFFFAFB"/>
        </patternFill>
      </fill>
      <border/>
    </dxf>
    <dxf>
      <font/>
      <fill>
        <patternFill patternType="solid">
          <fgColor rgb="FFFDEFF3"/>
          <bgColor rgb="FFFDEFF3"/>
        </patternFill>
      </fill>
      <border/>
    </dxf>
  </dxfs>
  <tableStyles count="29" defaultTableStyle="TableStyleMedium9" defaultPivotStyle="PivotStyleLight16">
    <tableStyle name="マスター-style" pivot="0" count="2">
      <tableStyleElement type="firstRowStripe" dxfId="1"/>
      <tableStyleElement type="secondRowStripe" dxfId="2"/>
    </tableStyle>
    <tableStyle name="マスター-style 2" pivot="0" count="2">
      <tableStyleElement type="firstRowStripe" dxfId="1"/>
      <tableStyleElement type="secondRowStripe" dxfId="2"/>
    </tableStyle>
    <tableStyle name="1月-style" pivot="0" count="2">
      <tableStyleElement type="firstRowStripe" dxfId="1"/>
      <tableStyleElement type="secondRowStripe" dxfId="2"/>
    </tableStyle>
    <tableStyle name="1月-style 2" pivot="0" count="2">
      <tableStyleElement type="firstRowStripe" dxfId="1"/>
      <tableStyleElement type="secondRowStripe" dxfId="2"/>
    </tableStyle>
    <tableStyle name="2月-style" pivot="0" count="2">
      <tableStyleElement type="firstRowStripe" dxfId="1"/>
      <tableStyleElement type="secondRowStripe" dxfId="2"/>
    </tableStyle>
    <tableStyle name="2月-style 2" pivot="0" count="2">
      <tableStyleElement type="firstRowStripe" dxfId="1"/>
      <tableStyleElement type="secondRowStripe" dxfId="2"/>
    </tableStyle>
    <tableStyle name="3月-style" pivot="0" count="2">
      <tableStyleElement type="firstRowStripe" dxfId="1"/>
      <tableStyleElement type="secondRowStripe" dxfId="2"/>
    </tableStyle>
    <tableStyle name="3月-style 2" pivot="0" count="2">
      <tableStyleElement type="firstRowStripe" dxfId="1"/>
      <tableStyleElement type="secondRowStripe" dxfId="2"/>
    </tableStyle>
    <tableStyle name="TOP-style" pivot="0" count="2">
      <tableStyleElement type="firstRowStripe" dxfId="1"/>
      <tableStyleElement type="secondRowStripe" dxfId="2"/>
    </tableStyle>
    <tableStyle name="TOP-style 2" pivot="0" count="2">
      <tableStyleElement type="firstRowStripe" dxfId="1"/>
      <tableStyleElement type="secondRowStripe" dxfId="2"/>
    </tableStyle>
    <tableStyle name="4月-style" pivot="0" count="2">
      <tableStyleElement type="firstRowStripe" dxfId="1"/>
      <tableStyleElement type="secondRowStripe" dxfId="2"/>
    </tableStyle>
    <tableStyle name="4月-style 2" pivot="0" count="2">
      <tableStyleElement type="firstRowStripe" dxfId="1"/>
      <tableStyleElement type="secondRowStripe" dxfId="2"/>
    </tableStyle>
    <tableStyle name="5月-style" pivot="0" count="2">
      <tableStyleElement type="firstRowStripe" dxfId="1"/>
      <tableStyleElement type="secondRowStripe" dxfId="2"/>
    </tableStyle>
    <tableStyle name="5月-style 2" pivot="0" count="2">
      <tableStyleElement type="firstRowStripe" dxfId="1"/>
      <tableStyleElement type="secondRowStripe" dxfId="2"/>
    </tableStyle>
    <tableStyle name="6月-style" pivot="0" count="2">
      <tableStyleElement type="firstRowStripe" dxfId="1"/>
      <tableStyleElement type="secondRowStripe" dxfId="2"/>
    </tableStyle>
    <tableStyle name="6月-style 2" pivot="0" count="2">
      <tableStyleElement type="firstRowStripe" dxfId="1"/>
      <tableStyleElement type="secondRowStripe" dxfId="2"/>
    </tableStyle>
    <tableStyle name="7月-style" pivot="0" count="2">
      <tableStyleElement type="firstRowStripe" dxfId="1"/>
      <tableStyleElement type="secondRowStripe" dxfId="2"/>
    </tableStyle>
    <tableStyle name="7月-style 2" pivot="0" count="2">
      <tableStyleElement type="firstRowStripe" dxfId="1"/>
      <tableStyleElement type="secondRowStripe" dxfId="2"/>
    </tableStyle>
    <tableStyle name="8月-style" pivot="0" count="2">
      <tableStyleElement type="firstRowStripe" dxfId="1"/>
      <tableStyleElement type="secondRowStripe" dxfId="2"/>
    </tableStyle>
    <tableStyle name="8月-style 2" pivot="0" count="2">
      <tableStyleElement type="firstRowStripe" dxfId="1"/>
      <tableStyleElement type="secondRowStripe" dxfId="2"/>
    </tableStyle>
    <tableStyle name="9月-style" pivot="0" count="2">
      <tableStyleElement type="firstRowStripe" dxfId="1"/>
      <tableStyleElement type="secondRowStripe" dxfId="2"/>
    </tableStyle>
    <tableStyle name="9月-style 2" pivot="0" count="2">
      <tableStyleElement type="firstRowStripe" dxfId="1"/>
      <tableStyleElement type="secondRowStripe" dxfId="2"/>
    </tableStyle>
    <tableStyle name="10月-style" pivot="0" count="2">
      <tableStyleElement type="firstRowStripe" dxfId="1"/>
      <tableStyleElement type="secondRowStripe" dxfId="2"/>
    </tableStyle>
    <tableStyle name="10月-style 2" pivot="0" count="2">
      <tableStyleElement type="firstRowStripe" dxfId="1"/>
      <tableStyleElement type="secondRowStripe" dxfId="2"/>
    </tableStyle>
    <tableStyle name="11月-style" pivot="0" count="2">
      <tableStyleElement type="firstRowStripe" dxfId="1"/>
      <tableStyleElement type="secondRowStripe" dxfId="2"/>
    </tableStyle>
    <tableStyle name="11月-style 2" pivot="0" count="2">
      <tableStyleElement type="firstRowStripe" dxfId="1"/>
      <tableStyleElement type="secondRowStripe" dxfId="2"/>
    </tableStyle>
    <tableStyle name="12月-style" pivot="0" count="2">
      <tableStyleElement type="firstRowStripe" dxfId="1"/>
      <tableStyleElement type="secondRowStripe" dxfId="2"/>
    </tableStyle>
    <tableStyle name="12月-style 2" pivot="0" count="2">
      <tableStyleElement type="firstRowStripe" dxfId="1"/>
      <tableStyleElement type="secondRowStripe" dxfId="2"/>
    </tableStyle>
    <tableStyle name="設定-style" pivot="0" count="2">
      <tableStyleElement type="firstRowStripe" dxfId="1"/>
      <tableStyleElement type="secondRowStripe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sz="1400" b="1">
                <a:solidFill>
                  <a:srgbClr val="5C3C49"/>
                </a:solidFill>
                <a:latin typeface="Zen Maru Gothic"/>
              </a:defRPr>
            </a:pPr>
            <a:r>
              <a:rPr sz="1400" b="1">
                <a:solidFill>
                  <a:srgbClr val="5C3C49"/>
                </a:solidFill>
                <a:latin typeface="Zen Maru Gothic"/>
              </a:rPr>
              <a:t>📅 月別支出推移</a:t>
            </a:r>
          </a:p>
        </rich>
      </tx>
      <overlay val="0"/>
    </title>
    <plotArea>
      <layout/>
      <lineChart>
        <grouping val="standard"/>
        <varyColors val="0"/>
        <ser>
          <idx val="0"/>
          <order val="0"/>
          <tx>
            <strRef>
              <f>TOP!$B$12</f>
            </strRef>
          </tx>
          <spPr>
            <a:ln xmlns:a="http://schemas.openxmlformats.org/drawingml/2006/main" cmpd="sng">
              <a:solidFill>
                <a:srgbClr val="F1C4C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TOP!$A$13:$A$24</f>
            </strRef>
          </cat>
          <val>
            <numRef>
              <f>TOP!$B$13:$B$24</f>
              <numCache/>
            </numRef>
          </val>
          <smooth val="0"/>
        </ser>
        <axId val="2018683646"/>
        <axId val="1360155177"/>
      </lineChart>
      <catAx>
        <axId val="2018683646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月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360155177"/>
        <lblOffset val="100"/>
      </catAx>
      <valAx>
        <axId val="1360155177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金額 (円)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2018683646"/>
      </valAx>
    </plotArea>
    <legend>
      <legendPos val="b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rgbClr val="FFFAFB"/>
    </a:solidFill>
    <a:ln xmlns:a="http://schemas.openxmlformats.org/drawingml/2006/main">
      <a:prstDash val="solid"/>
    </a:ln>
  </spPr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sz="1400" b="1">
                <a:solidFill>
                  <a:srgbClr val="5C3C49"/>
                </a:solidFill>
                <a:latin typeface="Zen Maru Gothic"/>
              </a:defRPr>
            </a:pPr>
            <a:r>
              <a:rPr sz="1400" b="1">
                <a:solidFill>
                  <a:srgbClr val="5C3C49"/>
                </a:solidFill>
                <a:latin typeface="Zen Maru Gothic"/>
              </a:rPr>
              <a:t>📋 カテゴリ別 年間支出</a:t>
            </a:r>
          </a:p>
        </rich>
      </tx>
      <overlay val="0"/>
    </title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BBC0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A853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FF6D01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46BDC6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7BAAF7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F07B72"/>
              </a:solidFill>
              <a:ln xmlns:a="http://schemas.openxmlformats.org/drawingml/2006/main"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FCD04F"/>
              </a:solidFill>
              <a:ln xmlns:a="http://schemas.openxmlformats.org/drawingml/2006/main">
                <a:prstDash val="solid"/>
              </a:ln>
            </spPr>
          </dPt>
          <dPt>
            <idx val="9"/>
            <spPr>
              <a:solidFill xmlns:a="http://schemas.openxmlformats.org/drawingml/2006/main">
                <a:srgbClr val="71C287"/>
              </a:solidFill>
              <a:ln xmlns:a="http://schemas.openxmlformats.org/drawingml/2006/main">
                <a:prstDash val="solid"/>
              </a:ln>
            </spPr>
          </dPt>
          <dPt>
            <idx val="10"/>
            <spPr>
              <a:solidFill xmlns:a="http://schemas.openxmlformats.org/drawingml/2006/main">
                <a:srgbClr val="FF994D"/>
              </a:solidFill>
              <a:ln xmlns:a="http://schemas.openxmlformats.org/drawingml/2006/main">
                <a:prstDash val="solid"/>
              </a:ln>
            </spPr>
          </dPt>
          <dPt>
            <idx val="11"/>
            <spPr>
              <a:solidFill xmlns:a="http://schemas.openxmlformats.org/drawingml/2006/main">
                <a:srgbClr val="7ED1D7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TOP!$A$29:$A$40</f>
            </strRef>
          </cat>
          <val>
            <numRef>
              <f>TOP!$B$29:$B$40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rgbClr val="FFFAFB"/>
    </a:solidFill>
    <a:ln xmlns:a="http://schemas.openxmlformats.org/drawingml/2006/main">
      <a:prstDash val="solid"/>
    </a:ln>
  </spPr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sz="1400" b="1">
                <a:solidFill>
                  <a:srgbClr val="5C3C49"/>
                </a:solidFill>
                <a:latin typeface="Zen Maru Gothic"/>
              </a:defRPr>
            </a:pPr>
            <a:r>
              <a:rPr sz="1400" b="1">
                <a:solidFill>
                  <a:srgbClr val="5C3C49"/>
                </a:solidFill>
                <a:latin typeface="Zen Maru Gothic"/>
              </a:rPr>
              <a:t>💑 ユーザー別 月間負担額</a:t>
            </a:r>
          </a:p>
        </rich>
      </tx>
      <overlay val="0"/>
    </title>
    <plotArea>
      <layout/>
      <barChart>
        <barDir val="col"/>
        <grouping val="clustered"/>
        <ser>
          <idx val="0"/>
          <order val="0"/>
          <tx>
            <strRef>
              <f>TOP!$C$12</f>
            </strRef>
          </tx>
          <spPr>
            <a:solidFill xmlns:a="http://schemas.openxmlformats.org/drawingml/2006/main">
              <a:srgbClr val="F1C4CE"/>
            </a:solidFill>
            <a:ln xmlns:a="http://schemas.openxmlformats.org/drawingml/2006/main" cmpd="sng">
              <a:noFill/>
              <a:prstDash val="solid"/>
            </a:ln>
          </spPr>
          <cat>
            <strRef>
              <f>TOP!$A$13:$A$24</f>
            </strRef>
          </cat>
          <val>
            <numRef>
              <f>TOP!$C$13:$C$24</f>
              <numCache/>
            </numRef>
          </val>
        </ser>
        <ser>
          <idx val="1"/>
          <order val="1"/>
          <tx>
            <strRef>
              <f>TOP!$D$12</f>
            </strRef>
          </tx>
          <spPr>
            <a:solidFill xmlns:a="http://schemas.openxmlformats.org/drawingml/2006/main">
              <a:srgbClr val="A8D7B8"/>
            </a:solidFill>
            <a:ln xmlns:a="http://schemas.openxmlformats.org/drawingml/2006/main" cmpd="sng">
              <a:noFill/>
              <a:prstDash val="solid"/>
            </a:ln>
          </spPr>
          <cat>
            <strRef>
              <f>TOP!$A$13:$A$24</f>
            </strRef>
          </cat>
          <val>
            <numRef>
              <f>TOP!$D$13:$D$24</f>
              <numCache/>
            </numRef>
          </val>
        </ser>
        <gapWidth val="150"/>
        <axId val="1812441867"/>
        <axId val="861161403"/>
      </barChart>
      <catAx>
        <axId val="1812441867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月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861161403"/>
        <lblOffset val="100"/>
      </catAx>
      <valAx>
        <axId val="861161403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金額 (円)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812441867"/>
      </valAx>
    </plotArea>
    <legend>
      <legendPos val="b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  <spPr>
    <a:solidFill xmlns:a="http://schemas.openxmlformats.org/drawingml/2006/main">
      <a:srgbClr val="FFFAFB"/>
    </a:solidFill>
    <a:ln xmlns:a="http://schemas.openxmlformats.org/drawingml/2006/main"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190500</colOff>
      <row>2</row>
      <rowOff>180975</rowOff>
    </from>
    <ext cx="5238750" cy="3048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  <oneCellAnchor>
    <from>
      <col>6</col>
      <colOff>190500</colOff>
      <row>17</row>
      <rowOff>180975</rowOff>
    </from>
    <ext cx="5238750" cy="36195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fLocksWithSheet="0"/>
  </oneCellAnchor>
  <oneCellAnchor>
    <from>
      <col>4</col>
      <colOff>495300</colOff>
      <row>36</row>
      <rowOff>190500</rowOff>
    </from>
    <ext cx="7620000" cy="3429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 fLocksWithSheet="0"/>
  </oneCellAnchor>
</wsDr>
</file>

<file path=xl/tables/table1.xml><?xml version="1.0" encoding="utf-8"?>
<table xmlns="http://schemas.openxmlformats.org/spreadsheetml/2006/main" id="1" name="Table_1" displayName="Table_1" ref="A5:B16" headerRowCount="0">
  <tableColumns count="2">
    <tableColumn id="1" name="Column1"/>
    <tableColumn id="2" name="Column2"/>
  </tableColumns>
  <tableStyleInfo name="マスター-style" showFirstColumn="1" showLastColumn="1" showRowStripes="1" showColumnStripes="0"/>
</table>
</file>

<file path=xl/tables/table2.xml><?xml version="1.0" encoding="utf-8"?>
<table xmlns="http://schemas.openxmlformats.org/spreadsheetml/2006/main" id="2" name="Table_3" displayName="Table_3" ref="D5:H30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マスター-style 2" showFirstColumn="1" showLastColumn="1" showRowStripes="1" showColumnStripes="0"/>
</table>
</file>

<file path=xl/tables/table3.xml><?xml version="1.0" encoding="utf-8"?>
<table xmlns="http://schemas.openxmlformats.org/spreadsheetml/2006/main" id="3" name="Table_9" displayName="Table_9" ref="A13:F24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OP-style" showFirstColumn="1" showLastColumn="1" showRowStripes="1" showColumnStripes="0"/>
</table>
</file>

<file path=xl/tables/table4.xml><?xml version="1.0" encoding="utf-8"?>
<table xmlns="http://schemas.openxmlformats.org/spreadsheetml/2006/main" id="4" name="Table_10" displayName="Table_10" ref="A29:C40" headerRowCount="0">
  <tableColumns count="3">
    <tableColumn id="1" name="Column1"/>
    <tableColumn id="2" name="Column2"/>
    <tableColumn id="3" name="Column3"/>
  </tableColumns>
  <tableStyleInfo name="TOP-style 2" showFirstColumn="1" showLastColumn="1" showRowStripes="1" showColumnStripes="0"/>
</table>
</file>

<file path=xl/tables/table5.xml><?xml version="1.0" encoding="utf-8"?>
<table xmlns="http://schemas.openxmlformats.org/spreadsheetml/2006/main" id="5" name="Table_2" displayName="Table_2" ref="A6:B17" headerRowCount="0">
  <tableColumns count="2">
    <tableColumn id="1" name="Column1"/>
    <tableColumn id="2" name="Column2"/>
  </tableColumns>
  <tableStyleInfo name="1月-style" showFirstColumn="1" showLastColumn="1" showRowStripes="1" showColumnStripes="0"/>
</table>
</file>

<file path=xl/tables/table6.xml><?xml version="1.0" encoding="utf-8"?>
<table xmlns="http://schemas.openxmlformats.org/spreadsheetml/2006/main" id="6" name="Table_4" displayName="Table_4" ref="E6:N53" headerRowCount="0">
  <tableColumns count="10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</tableColumns>
  <tableStyleInfo name="1月-style 2" showFirstColumn="1" showLastColumn="1" showRowStripes="1" showColumnStripes="0"/>
</table>
</file>

<file path=xl/tables/table7.xml><?xml version="1.0" encoding="utf-8"?>
<table xmlns="http://schemas.openxmlformats.org/spreadsheetml/2006/main" id="7" name="Table_29" displayName="Table_29" ref="A11:D22" headerRowCount="0">
  <tableColumns count="4">
    <tableColumn id="1" name="Column1"/>
    <tableColumn id="2" name="Column2"/>
    <tableColumn id="3" name="Column3"/>
    <tableColumn id="4" name="Column4"/>
  </tableColumns>
  <tableStyleInfo name="設定-style" showFirstColumn="1" showLastColumn="1" showRowStripes="1" showColumnStripes="0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3.xml" Id="rId2"/><Relationship Type="http://schemas.openxmlformats.org/officeDocument/2006/relationships/table" Target="/xl/tables/table4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tabColor rgb="FFF1C4CE"/>
    <outlinePr summaryBelow="0" summaryRight="0"/>
    <pageSetUpPr/>
  </sheetPr>
  <dimension ref="A1:K42"/>
  <sheetViews>
    <sheetView workbookViewId="0">
      <selection activeCell="A1" sqref="A1"/>
    </sheetView>
  </sheetViews>
  <sheetFormatPr baseColWidth="8" defaultColWidth="12.63" defaultRowHeight="15.75" customHeight="1"/>
  <cols>
    <col width="35.13" customWidth="1" style="78" min="1" max="1"/>
    <col width="60.13" customWidth="1" style="78" min="2" max="2"/>
  </cols>
  <sheetData>
    <row r="1" ht="36" customHeight="1" s="78">
      <c r="A1" s="2" t="inlineStr">
        <is>
          <t>ふたりの家計簿 — 体験版（無料）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>
      <c r="A2" s="24" t="inlineStr">
        <is>
          <t>同棲・夫婦のためのスプレッドシート家計簿テンプレート</t>
        </is>
      </c>
      <c r="B2" s="24" t="n"/>
      <c r="C2" s="24" t="n"/>
      <c r="D2" s="24" t="n"/>
    </row>
    <row r="3">
      <c r="A3" s="24" t="n"/>
      <c r="B3" s="24" t="n"/>
      <c r="C3" s="24" t="n"/>
      <c r="D3" s="24" t="n"/>
    </row>
    <row r="4">
      <c r="A4" s="30" t="inlineStr">
        <is>
          <t>📝 このテンプレートでできること</t>
        </is>
      </c>
      <c r="B4" s="30" t="n"/>
      <c r="C4" s="30" t="n"/>
      <c r="D4" s="30" t="n"/>
    </row>
    <row r="5">
      <c r="A5" s="24" t="inlineStr">
        <is>
          <t>・ 二人の名前・負担割合を自由に設定</t>
        </is>
      </c>
      <c r="B5" s="24" t="n"/>
      <c r="C5" s="24" t="n"/>
      <c r="D5" s="24" t="n"/>
    </row>
    <row r="6">
      <c r="A6" s="24" t="inlineStr">
        <is>
          <t>・ 共有支出と個人負担を明確に区別</t>
        </is>
      </c>
      <c r="B6" s="24" t="n"/>
      <c r="C6" s="24" t="n"/>
      <c r="D6" s="24" t="n"/>
    </row>
    <row r="7">
      <c r="A7" s="24" t="inlineStr">
        <is>
          <t>・ 「誰が誰にいくら払う」精算を自動計算</t>
        </is>
      </c>
      <c r="B7" s="24" t="n"/>
      <c r="C7" s="24" t="n"/>
      <c r="D7" s="24" t="n"/>
    </row>
    <row r="8">
      <c r="A8" s="24" t="inlineStr">
        <is>
          <t>・ 12カテゴリ × 12ヶ月の支出を一括管理</t>
        </is>
      </c>
      <c r="B8" s="24" t="n"/>
      <c r="C8" s="24" t="n"/>
      <c r="D8" s="24" t="n"/>
    </row>
    <row r="9">
      <c r="A9" s="24" t="inlineStr">
        <is>
          <t>・ 年間サマリーとグラフで視覚化</t>
        </is>
      </c>
      <c r="B9" s="24" t="n"/>
      <c r="C9" s="24" t="n"/>
      <c r="D9" s="24" t="n"/>
    </row>
    <row r="10">
      <c r="A10" s="24" t="n"/>
      <c r="B10" s="24" t="n"/>
      <c r="C10" s="24" t="n"/>
      <c r="D10" s="24" t="n"/>
    </row>
    <row r="11">
      <c r="A11" s="30" t="inlineStr">
        <is>
          <t>🚀 初期設定 (最初の3ステップ)</t>
        </is>
      </c>
      <c r="B11" s="30" t="n"/>
      <c r="C11" s="30" t="n"/>
      <c r="D11" s="30" t="n"/>
    </row>
    <row r="12">
      <c r="A12" s="24" t="inlineStr">
        <is>
          <t>STEP 1</t>
        </is>
      </c>
      <c r="B12" s="24" t="inlineStr">
        <is>
          <t>「設定」シートで二人の名前と負担割合を入力</t>
        </is>
      </c>
      <c r="C12" s="24" t="n"/>
      <c r="D12" s="24" t="n"/>
    </row>
    <row r="13">
      <c r="A13" s="24" t="inlineStr">
        <is>
          <t>STEP 2</t>
        </is>
      </c>
      <c r="B13" s="24" t="inlineStr">
        <is>
          <t>「設定」シートで使う口座・カードを登録</t>
        </is>
      </c>
      <c r="C13" s="24" t="n"/>
      <c r="D13" s="24" t="n"/>
    </row>
    <row r="14">
      <c r="A14" s="24" t="inlineStr">
        <is>
          <t>STEP 3</t>
        </is>
      </c>
      <c r="B14" s="24" t="inlineStr">
        <is>
          <t>「1月」シートに支出を入力してみる</t>
        </is>
      </c>
      <c r="C14" s="24" t="n"/>
      <c r="D14" s="24" t="n"/>
    </row>
    <row r="15">
      <c r="A15" s="24" t="n"/>
      <c r="B15" s="24" t="n"/>
      <c r="C15" s="24" t="n"/>
      <c r="D15" s="24" t="n"/>
    </row>
    <row r="16">
      <c r="A16" s="30" t="inlineStr">
        <is>
          <t>✏️ 月次シートの使い方</t>
        </is>
      </c>
      <c r="B16" s="30" t="n"/>
      <c r="C16" s="30" t="n"/>
      <c r="D16" s="30" t="n"/>
    </row>
    <row r="17">
      <c r="A17" s="24" t="inlineStr">
        <is>
          <t>・ 表は5行目がヘッダー、6行目以降に1件ずつ入力</t>
        </is>
      </c>
      <c r="B17" s="24" t="n"/>
      <c r="C17" s="24" t="n"/>
      <c r="D17" s="24" t="n"/>
    </row>
    <row r="18">
      <c r="A18" s="24" t="inlineStr">
        <is>
          <t>・ 手入力するのは6項目</t>
        </is>
      </c>
      <c r="B18" s="24" t="inlineStr">
        <is>
          <t>カテゴリ / 内容 / 金額 / 支払元 / 負担区分 / メモ</t>
        </is>
      </c>
      <c r="C18" s="24" t="n"/>
      <c r="D18" s="24" t="n"/>
    </row>
    <row r="19">
      <c r="A19" s="24" t="inlineStr">
        <is>
          <t>・ 自動計算されるのは4項目</t>
        </is>
      </c>
      <c r="B19" s="24">
        <f>"支払者 / 引落先 / "&amp;'設定'!$B$3&amp;"負担額 / "&amp;'設定'!$B$4&amp;"負担額"</f>
        <v/>
      </c>
      <c r="C19" s="24" t="n"/>
      <c r="D19" s="24" t="n"/>
    </row>
    <row r="20">
      <c r="A20" s="30" t="inlineStr">
        <is>
          <t>・ 左側 (A～C列) は月次サマリー &amp; 精算結果が自動表示</t>
        </is>
      </c>
      <c r="B20" s="30" t="n"/>
      <c r="C20" s="30" t="n"/>
      <c r="D20" s="30" t="n"/>
    </row>
    <row r="21">
      <c r="A21" s="24" t="n"/>
      <c r="B21" s="24" t="n"/>
      <c r="C21" s="24" t="n"/>
      <c r="D21" s="24" t="n"/>
    </row>
    <row r="22">
      <c r="A22" s="24" t="inlineStr">
        <is>
          <t>🎯 「負担区分」の選び方</t>
        </is>
      </c>
      <c r="B22" s="24" t="n"/>
      <c r="C22" s="24" t="n"/>
      <c r="D22" s="24" t="n"/>
    </row>
    <row r="23">
      <c r="A23" s="24" t="inlineStr">
        <is>
          <t>共有</t>
        </is>
      </c>
      <c r="B23" s="24" t="inlineStr">
        <is>
          <t>二人に関わる支出 → 設定した割合で自動按分</t>
        </is>
      </c>
      <c r="C23" s="24" t="n"/>
      <c r="D23" s="24" t="n"/>
    </row>
    <row r="24">
      <c r="A24" s="24">
        <f>'設定'!$B$3&amp;"負担"</f>
        <v/>
      </c>
      <c r="B24" s="24">
        <f>'設定'!$B$3&amp;"個人の支出、または相手が"&amp;'設定'!$B$3&amp;"の支出を立替えた場合"</f>
        <v/>
      </c>
      <c r="C24" s="24" t="n"/>
      <c r="D24" s="24" t="n"/>
    </row>
    <row r="25">
      <c r="A25" s="30">
        <f>'設定'!$B$4&amp;"負担"</f>
        <v/>
      </c>
      <c r="B25" s="30">
        <f>'設定'!$B$4&amp;"個人の支出、または相手が"&amp;'設定'!$B$4&amp;"の支出を立替えた場合"</f>
        <v/>
      </c>
      <c r="C25" s="30" t="n"/>
      <c r="D25" s="30" t="n"/>
    </row>
    <row r="26">
      <c r="A26" s="24" t="n"/>
      <c r="B26" s="24" t="n"/>
      <c r="C26" s="24" t="n"/>
      <c r="D26" s="24" t="n"/>
    </row>
    <row r="27">
      <c r="A27" s="24" t="inlineStr">
        <is>
          <t>💡 よくあるケース</t>
        </is>
      </c>
      <c r="B27" s="24" t="n"/>
      <c r="C27" s="24" t="n"/>
      <c r="D27" s="24" t="n"/>
    </row>
    <row r="28">
      <c r="A28" s="24" t="inlineStr">
        <is>
          <t>ケース1</t>
        </is>
      </c>
      <c r="B28" s="24">
        <f>'設定'!$B$3&amp;"が共有カードで家賃 → 支払元:共有クレカ / 区分:共有"</f>
        <v/>
      </c>
      <c r="C28" s="24" t="n"/>
      <c r="D28" s="24" t="n"/>
    </row>
    <row r="29">
      <c r="A29" s="24" t="inlineStr">
        <is>
          <t>ケース2</t>
        </is>
      </c>
      <c r="B29" s="24">
        <f>'設定'!$B$3&amp;"が"&amp;'設定'!$B$4&amp;"の服を立替え → 支払元:楽天 ("&amp;'設定'!$B$3&amp;") / 区分:"&amp;'設定'!$B$4&amp;"負担"</f>
        <v/>
      </c>
      <c r="C29" s="24" t="n"/>
      <c r="D29" s="24" t="n"/>
    </row>
    <row r="30">
      <c r="A30" s="30" t="inlineStr"/>
      <c r="B30" s="30">
        <f>"共有カードで"&amp;'設定'!$B$4&amp;"の趣味品を誤計上 → 支払元:共有クレカ / 区分:"&amp;'設定'!$B$4&amp;"負担"</f>
        <v/>
      </c>
      <c r="C30" s="30" t="n"/>
      <c r="D30" s="30" t="n"/>
    </row>
    <row r="31">
      <c r="A31" s="24" t="inlineStr">
        <is>
          <t>【この体験版でできること】</t>
        </is>
      </c>
      <c r="B31" s="24" t="n"/>
      <c r="C31" s="24" t="n"/>
      <c r="D31" s="24" t="n"/>
    </row>
    <row r="32">
      <c r="A32" s="24" t="inlineStr">
        <is>
          <t>・1月シートにサンプルの取引が入っています。金額や負担区分を書き換えると、</t>
        </is>
      </c>
      <c r="B32" s="24" t="n"/>
      <c r="C32" s="24" t="n"/>
      <c r="D32" s="24" t="n"/>
    </row>
    <row r="33">
      <c r="A33" s="24" t="inlineStr">
        <is>
          <t xml:space="preserve">　「精算」欄（B26）の金額と向きがその場で変わります。これが本製品の中心機能です。</t>
        </is>
      </c>
      <c r="B33" s="24" t="n"/>
      <c r="C33" s="24" t="n"/>
      <c r="D33" s="24" t="n"/>
    </row>
    <row r="34">
      <c r="A34" s="24" t="inlineStr">
        <is>
          <t>・設定シートで名前・負担割合（初期値 60:40）・カード/口座を変更できます。</t>
        </is>
      </c>
      <c r="B34" s="24" t="n"/>
      <c r="C34" s="24" t="n"/>
      <c r="D34" s="24" t="n"/>
    </row>
    <row r="35">
      <c r="A35" s="30" t="inlineStr"/>
      <c r="B35" s="30" t="n"/>
      <c r="C35" s="30" t="n"/>
      <c r="D35" s="30" t="n"/>
    </row>
    <row r="36">
      <c r="A36" s="24" t="inlineStr">
        <is>
          <t>【体験版に含まれないもの】</t>
        </is>
      </c>
      <c r="B36" s="24" t="n"/>
      <c r="C36" s="24" t="n"/>
      <c r="D36" s="24" t="n"/>
    </row>
    <row r="37">
      <c r="A37" s="24" t="inlineStr">
        <is>
          <t>・2月〜12月のシート（本体験版は1月のみ）</t>
        </is>
      </c>
      <c r="B37" s="24" t="n"/>
      <c r="C37" s="24" t="n"/>
      <c r="D37" s="24" t="n"/>
    </row>
    <row r="38">
      <c r="A38" s="24" t="inlineStr">
        <is>
          <t>・TOPシートの年間サマリー（月別推移・年間累計）</t>
        </is>
      </c>
      <c r="B38" s="24" t="inlineStr">
        <is>
          <t>メイン版 — 可愛いパステル</t>
        </is>
      </c>
      <c r="C38" s="24" t="n"/>
      <c r="D38" s="24" t="n"/>
    </row>
    <row r="39">
      <c r="A39" s="24" t="inlineStr"/>
      <c r="B39" s="24" t="inlineStr">
        <is>
          <t>丁寧な暮らし系</t>
        </is>
      </c>
      <c r="C39" s="24" t="n"/>
      <c r="D39" s="24" t="n"/>
    </row>
    <row r="40">
      <c r="A40" s="30" t="inlineStr">
        <is>
          <t>気に入ったら製品版（¥980）をご検討ください。</t>
        </is>
      </c>
      <c r="B40" s="30" t="inlineStr">
        <is>
          <t>北欧風シック</t>
        </is>
      </c>
      <c r="C40" s="30" t="n"/>
      <c r="D40" s="30" t="n"/>
    </row>
    <row r="42">
      <c r="A42" s="77" t="inlineStr">
        <is>
          <t>v1.0</t>
        </is>
      </c>
      <c r="B42" s="77" t="inlineStr">
        <is>
          <t>Sakura Duo Edition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F1C4CE"/>
    <outlinePr summaryBelow="0" summaryRight="0"/>
    <pageSetUpPr/>
  </sheetPr>
  <dimension ref="A1:K30"/>
  <sheetViews>
    <sheetView workbookViewId="0">
      <selection activeCell="A1" sqref="A1"/>
    </sheetView>
  </sheetViews>
  <sheetFormatPr baseColWidth="8" defaultColWidth="12.63" defaultRowHeight="15.75" customHeight="1"/>
  <cols>
    <col width="20.13" customWidth="1" style="78" min="2" max="2"/>
    <col width="25.13" customWidth="1" style="78" min="4" max="4"/>
    <col width="22.63" customWidth="1" style="78" min="7" max="7"/>
  </cols>
  <sheetData>
    <row r="1" ht="36" customHeight="1" s="78">
      <c r="A1" s="2" t="inlineStr">
        <is>
          <t>マスター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3">
      <c r="A3" s="73" t="inlineStr">
        <is>
          <t>📝 カテゴリ (固定12項目)</t>
        </is>
      </c>
      <c r="B3" s="73" t="n"/>
      <c r="C3" s="73" t="n"/>
      <c r="D3" s="73" t="inlineStr">
        <is>
          <t>💳 支払元 (追加可)</t>
        </is>
      </c>
      <c r="E3" s="73" t="n"/>
      <c r="F3" s="73" t="n"/>
      <c r="G3" s="73" t="n"/>
      <c r="H3" s="73" t="n"/>
    </row>
    <row r="4">
      <c r="A4" s="73" t="inlineStr">
        <is>
          <t>カテゴリID</t>
        </is>
      </c>
      <c r="B4" s="73" t="inlineStr">
        <is>
          <t>カテゴリ名</t>
        </is>
      </c>
      <c r="C4" s="73" t="n"/>
      <c r="D4" s="73" t="inlineStr">
        <is>
          <t>支払元名</t>
        </is>
      </c>
      <c r="E4" s="73" t="inlineStr">
        <is>
          <t>種別</t>
        </is>
      </c>
      <c r="F4" s="73" t="inlineStr">
        <is>
          <t>名義</t>
        </is>
      </c>
      <c r="G4" s="73" t="inlineStr">
        <is>
          <t>引落先口座</t>
        </is>
      </c>
      <c r="H4" s="73" t="inlineStr">
        <is>
          <t>メモ</t>
        </is>
      </c>
    </row>
    <row r="5">
      <c r="A5" s="77" t="inlineStr">
        <is>
          <t>C01</t>
        </is>
      </c>
      <c r="B5" s="77" t="inlineStr">
        <is>
          <t>🏠 家賃</t>
        </is>
      </c>
      <c r="D5" s="77">
        <f>"楽天カード ("&amp;'設定'!$B$3&amp;")"</f>
        <v/>
      </c>
      <c r="E5" s="77" t="inlineStr">
        <is>
          <t>クレカ</t>
        </is>
      </c>
      <c r="F5" s="77">
        <f>'設定'!$B$3</f>
        <v/>
      </c>
      <c r="G5" s="77">
        <f>"みずほ銀行 ("&amp;'設定'!$B$3&amp;")"</f>
        <v/>
      </c>
      <c r="H5" s="77" t="n"/>
    </row>
    <row r="6">
      <c r="A6" s="77" t="inlineStr">
        <is>
          <t>C02</t>
        </is>
      </c>
      <c r="B6" s="77" t="inlineStr">
        <is>
          <t>💡 光熱費</t>
        </is>
      </c>
      <c r="D6" s="77">
        <f>"PayPay ("&amp;'設定'!$B$4&amp;")"</f>
        <v/>
      </c>
      <c r="E6" s="77" t="inlineStr">
        <is>
          <t>QR</t>
        </is>
      </c>
      <c r="F6" s="77">
        <f>'設定'!$B$4</f>
        <v/>
      </c>
      <c r="G6" s="77">
        <f>"三菱UFJ ("&amp;'設定'!$B$4&amp;")"</f>
        <v/>
      </c>
      <c r="H6" s="77" t="n"/>
    </row>
    <row r="7">
      <c r="A7" s="77" t="inlineStr">
        <is>
          <t>C03</t>
        </is>
      </c>
      <c r="B7" s="77" t="inlineStr">
        <is>
          <t>🍜 食費</t>
        </is>
      </c>
      <c r="D7" s="77" t="inlineStr">
        <is>
          <t>共有クレカ</t>
        </is>
      </c>
      <c r="E7" s="77" t="inlineStr">
        <is>
          <t>クレカ</t>
        </is>
      </c>
      <c r="F7" s="77" t="inlineStr">
        <is>
          <t>共有</t>
        </is>
      </c>
      <c r="G7" s="77" t="inlineStr">
        <is>
          <t>共有口座</t>
        </is>
      </c>
      <c r="H7" s="77" t="n"/>
    </row>
    <row r="8">
      <c r="A8" s="77" t="inlineStr">
        <is>
          <t>C04</t>
        </is>
      </c>
      <c r="B8" s="77" t="inlineStr">
        <is>
          <t>🛍️ 日用品</t>
        </is>
      </c>
      <c r="D8" s="77">
        <f>"現金 ("&amp;'設定'!$B$3&amp;")"</f>
        <v/>
      </c>
      <c r="E8" s="77" t="inlineStr">
        <is>
          <t>現金</t>
        </is>
      </c>
      <c r="F8" s="77">
        <f>'設定'!$B$3</f>
        <v/>
      </c>
      <c r="G8" s="77" t="inlineStr">
        <is>
          <t>-</t>
        </is>
      </c>
      <c r="H8" s="77" t="n"/>
    </row>
    <row r="9">
      <c r="A9" s="77" t="inlineStr">
        <is>
          <t>C05</t>
        </is>
      </c>
      <c r="B9" s="77" t="inlineStr">
        <is>
          <t>🛋️ 家具家電</t>
        </is>
      </c>
      <c r="D9" s="77">
        <f>"現金 ("&amp;'設定'!$B$4&amp;")"</f>
        <v/>
      </c>
      <c r="E9" s="77" t="inlineStr">
        <is>
          <t>現金</t>
        </is>
      </c>
      <c r="F9" s="77">
        <f>'設定'!$B$4</f>
        <v/>
      </c>
      <c r="G9" s="77" t="inlineStr">
        <is>
          <t>-</t>
        </is>
      </c>
      <c r="H9" s="77" t="n"/>
    </row>
    <row r="10">
      <c r="A10" s="77" t="inlineStr">
        <is>
          <t>C06</t>
        </is>
      </c>
      <c r="B10" s="77" t="inlineStr">
        <is>
          <t>🎁 イベント</t>
        </is>
      </c>
      <c r="D10" s="77">
        <f>"みずほ銀行 ("&amp;'設定'!$B$3&amp;")"</f>
        <v/>
      </c>
      <c r="E10" s="77" t="inlineStr">
        <is>
          <t>銀行</t>
        </is>
      </c>
      <c r="F10" s="77">
        <f>'設定'!$B$3</f>
        <v/>
      </c>
      <c r="G10" s="77">
        <f>"みずほ銀行 ("&amp;'設定'!$B$3&amp;")"</f>
        <v/>
      </c>
      <c r="H10" s="77" t="inlineStr">
        <is>
          <t>直接引落</t>
        </is>
      </c>
    </row>
    <row r="11">
      <c r="A11" s="77" t="inlineStr">
        <is>
          <t>C07</t>
        </is>
      </c>
      <c r="B11" s="77" t="inlineStr">
        <is>
          <t>📚 教育</t>
        </is>
      </c>
      <c r="D11" s="77">
        <f>"三菱UFJ ("&amp;'設定'!$B$4&amp;")"</f>
        <v/>
      </c>
      <c r="E11" s="77" t="inlineStr">
        <is>
          <t>銀行</t>
        </is>
      </c>
      <c r="F11" s="77">
        <f>'設定'!$B$4</f>
        <v/>
      </c>
      <c r="G11" s="77">
        <f>"三菱UFJ ("&amp;'設定'!$B$4&amp;")"</f>
        <v/>
      </c>
      <c r="H11" s="77" t="inlineStr">
        <is>
          <t>直接引落</t>
        </is>
      </c>
    </row>
    <row r="12">
      <c r="A12" s="77" t="inlineStr">
        <is>
          <t>C08</t>
        </is>
      </c>
      <c r="B12" s="77" t="inlineStr">
        <is>
          <t>🚃 交通</t>
        </is>
      </c>
      <c r="D12" s="77" t="inlineStr">
        <is>
          <t>共有口座</t>
        </is>
      </c>
      <c r="E12" s="77" t="inlineStr">
        <is>
          <t>銀行</t>
        </is>
      </c>
      <c r="F12" s="77" t="inlineStr">
        <is>
          <t>共有</t>
        </is>
      </c>
      <c r="G12" s="77" t="inlineStr">
        <is>
          <t>共有口座</t>
        </is>
      </c>
      <c r="H12" s="77" t="inlineStr">
        <is>
          <t>直接引落</t>
        </is>
      </c>
    </row>
    <row r="13">
      <c r="A13" s="77" t="inlineStr">
        <is>
          <t>C09</t>
        </is>
      </c>
      <c r="B13" s="77" t="inlineStr">
        <is>
          <t>💄 美容</t>
        </is>
      </c>
      <c r="D13" s="77" t="n"/>
      <c r="E13" s="77" t="n"/>
      <c r="F13" s="77" t="n"/>
      <c r="G13" s="77" t="n"/>
      <c r="H13" s="77" t="n"/>
    </row>
    <row r="14">
      <c r="A14" s="77" t="inlineStr">
        <is>
          <t>C10</t>
        </is>
      </c>
      <c r="B14" s="77" t="inlineStr">
        <is>
          <t>🏥 医療</t>
        </is>
      </c>
      <c r="D14" s="77" t="n"/>
      <c r="E14" s="77" t="n"/>
      <c r="F14" s="77" t="n"/>
      <c r="G14" s="77" t="n"/>
      <c r="H14" s="77" t="n"/>
    </row>
    <row r="15">
      <c r="A15" s="77" t="inlineStr">
        <is>
          <t>C11</t>
        </is>
      </c>
      <c r="B15" s="77" t="inlineStr">
        <is>
          <t>💰 税金</t>
        </is>
      </c>
      <c r="D15" s="77" t="n"/>
      <c r="E15" s="77" t="n"/>
      <c r="F15" s="77" t="n"/>
      <c r="G15" s="77" t="n"/>
      <c r="H15" s="77" t="n"/>
    </row>
    <row r="16">
      <c r="A16" s="77" t="inlineStr">
        <is>
          <t>C12</t>
        </is>
      </c>
      <c r="B16" s="77" t="inlineStr">
        <is>
          <t>📌 その他</t>
        </is>
      </c>
      <c r="D16" s="77" t="n"/>
      <c r="E16" s="77" t="n"/>
      <c r="F16" s="77" t="n"/>
      <c r="G16" s="77" t="n"/>
      <c r="H16" s="77" t="n"/>
    </row>
    <row r="17">
      <c r="D17" s="77" t="n"/>
      <c r="E17" s="77" t="n"/>
      <c r="F17" s="77" t="n"/>
      <c r="G17" s="77" t="n"/>
      <c r="H17" s="77" t="n"/>
    </row>
    <row r="18">
      <c r="D18" s="77" t="n"/>
      <c r="E18" s="77" t="n"/>
      <c r="F18" s="77" t="n"/>
      <c r="G18" s="77" t="n"/>
      <c r="H18" s="77" t="n"/>
    </row>
    <row r="19">
      <c r="D19" s="77" t="n"/>
      <c r="E19" s="77" t="n"/>
      <c r="F19" s="77" t="n"/>
      <c r="G19" s="77" t="n"/>
      <c r="H19" s="77" t="n"/>
    </row>
    <row r="20">
      <c r="D20" s="77" t="n"/>
      <c r="E20" s="77" t="n"/>
      <c r="F20" s="77" t="n"/>
      <c r="G20" s="77" t="n"/>
      <c r="H20" s="77" t="n"/>
    </row>
    <row r="21">
      <c r="D21" s="77" t="n"/>
      <c r="E21" s="77" t="n"/>
      <c r="F21" s="77" t="n"/>
      <c r="G21" s="77" t="n"/>
      <c r="H21" s="77" t="n"/>
    </row>
    <row r="22">
      <c r="D22" s="77" t="n"/>
      <c r="E22" s="77" t="n"/>
      <c r="F22" s="77" t="n"/>
      <c r="G22" s="77" t="n"/>
      <c r="H22" s="77" t="n"/>
    </row>
    <row r="23">
      <c r="D23" s="77" t="n"/>
      <c r="E23" s="77" t="n"/>
      <c r="F23" s="77" t="n"/>
      <c r="G23" s="77" t="n"/>
      <c r="H23" s="77" t="n"/>
    </row>
    <row r="24">
      <c r="D24" s="77" t="n"/>
      <c r="E24" s="77" t="n"/>
      <c r="F24" s="77" t="n"/>
      <c r="G24" s="77" t="n"/>
      <c r="H24" s="77" t="n"/>
    </row>
    <row r="25">
      <c r="D25" s="77" t="n"/>
      <c r="E25" s="77" t="n"/>
      <c r="F25" s="77" t="n"/>
      <c r="G25" s="77" t="n"/>
      <c r="H25" s="77" t="n"/>
    </row>
    <row r="26">
      <c r="D26" s="77" t="n"/>
      <c r="E26" s="77" t="n"/>
      <c r="F26" s="77" t="n"/>
      <c r="G26" s="77" t="n"/>
      <c r="H26" s="77" t="n"/>
    </row>
    <row r="27">
      <c r="D27" s="77" t="n"/>
      <c r="E27" s="77" t="n"/>
      <c r="F27" s="77" t="n"/>
      <c r="G27" s="77" t="n"/>
      <c r="H27" s="77" t="n"/>
    </row>
    <row r="28">
      <c r="D28" s="77" t="n"/>
      <c r="E28" s="77" t="n"/>
      <c r="F28" s="77" t="n"/>
      <c r="G28" s="77" t="n"/>
      <c r="H28" s="77" t="n"/>
    </row>
    <row r="29">
      <c r="D29" s="77" t="n"/>
      <c r="E29" s="77" t="n"/>
      <c r="F29" s="77" t="n"/>
      <c r="G29" s="77" t="n"/>
      <c r="H29" s="77" t="n"/>
    </row>
    <row r="30">
      <c r="D30" s="77" t="n"/>
      <c r="E30" s="77" t="n"/>
      <c r="F30" s="77" t="n"/>
      <c r="G30" s="77" t="n"/>
      <c r="H30" s="77" t="n"/>
    </row>
  </sheetData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tabColor rgb="FFF1C4CE"/>
    <outlinePr summaryBelow="0" summaryRight="0"/>
    <pageSetUpPr/>
  </sheetPr>
  <dimension ref="A1:L40"/>
  <sheetViews>
    <sheetView workbookViewId="0">
      <pane ySplit="2" topLeftCell="A3" activePane="bottomLeft" state="frozen"/>
      <selection pane="bottomLeft" activeCell="B4" sqref="B4"/>
    </sheetView>
  </sheetViews>
  <sheetFormatPr baseColWidth="8" defaultColWidth="12.63" defaultRowHeight="15.75" customHeight="1"/>
  <cols>
    <col width="27.63" customWidth="1" style="78" min="1" max="1"/>
    <col width="20.13" customWidth="1" style="78" min="2" max="2"/>
    <col width="17.63" customWidth="1" style="78" min="3" max="6"/>
  </cols>
  <sheetData>
    <row r="1" ht="36" customHeight="1" s="78">
      <c r="A1" s="2" t="inlineStr">
        <is>
          <t>ふたりの家計簿 — 年間サマリー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>
      <c r="A2" s="35" t="inlineStr">
        <is>
          <t>🎁 体験版（1月のみ）— 全12か月・年間サマリーは製品版に含まれます</t>
        </is>
      </c>
      <c r="B2" s="35" t="n"/>
      <c r="C2" s="35" t="n"/>
      <c r="D2" s="35" t="n"/>
      <c r="E2" s="35" t="n"/>
      <c r="F2" s="35" t="n"/>
    </row>
    <row r="3"/>
    <row r="4">
      <c r="A4" s="37" t="inlineStr">
        <is>
          <t>📊 年間概要</t>
        </is>
      </c>
      <c r="B4" s="37" t="n"/>
      <c r="C4" s="37" t="n"/>
      <c r="D4" s="37" t="n"/>
      <c r="E4" s="37" t="n"/>
      <c r="F4" s="37" t="n"/>
    </row>
    <row r="5">
      <c r="A5" s="39" t="inlineStr">
        <is>
          <t>指標</t>
        </is>
      </c>
      <c r="B5" s="39" t="inlineStr">
        <is>
          <t>金額</t>
        </is>
      </c>
      <c r="C5" s="39" t="n"/>
      <c r="D5" s="39" t="n"/>
      <c r="E5" s="39" t="n"/>
      <c r="F5" s="39" t="n"/>
    </row>
    <row r="6">
      <c r="A6" s="77" t="inlineStr">
        <is>
          <t>💴 年間総支出</t>
        </is>
      </c>
      <c r="B6" s="41">
        <f>SUM('1月'!$G$6:$G$53)</f>
        <v/>
      </c>
    </row>
    <row r="7">
      <c r="A7" s="77">
        <f>'設定'!B3&amp;" 年間負担額"</f>
        <v/>
      </c>
      <c r="B7" s="41">
        <f>SUM('1月'!$L$6:$L$53)</f>
        <v/>
      </c>
    </row>
    <row r="8">
      <c r="A8" s="77">
        <f>'設定'!B4&amp;" 年間負担額"</f>
        <v/>
      </c>
      <c r="B8" s="41">
        <f>SUM('1月'!$M$6:$M$53)</f>
        <v/>
      </c>
    </row>
    <row r="9">
      <c r="A9" s="77" t="inlineStr">
        <is>
          <t>📈 年間A過不足累計</t>
        </is>
      </c>
      <c r="B9" s="41">
        <f>'1月'!B24</f>
        <v/>
      </c>
    </row>
    <row r="10"/>
    <row r="11">
      <c r="A11" s="37" t="inlineStr">
        <is>
          <t>📅 月別支出推移</t>
        </is>
      </c>
      <c r="B11" s="37" t="n"/>
      <c r="C11" s="37" t="n"/>
      <c r="D11" s="37" t="n"/>
      <c r="E11" s="37" t="n"/>
      <c r="F11" s="37" t="n"/>
    </row>
    <row r="12">
      <c r="A12" s="39" t="inlineStr">
        <is>
          <t>月</t>
        </is>
      </c>
      <c r="B12" s="39" t="inlineStr">
        <is>
          <t>💴 総支出</t>
        </is>
      </c>
      <c r="C12" s="39">
        <f>'設定'!B3&amp;"負担"</f>
        <v/>
      </c>
      <c r="D12" s="39">
        <f>'設定'!B4&amp;"負担"</f>
        <v/>
      </c>
      <c r="E12" s="39" t="inlineStr">
        <is>
          <t>精算</t>
        </is>
      </c>
      <c r="F12" s="39">
        <f>"支払者("&amp;'設定'!B3&amp;"過不足)"</f>
        <v/>
      </c>
    </row>
    <row r="13">
      <c r="A13" s="77" t="inlineStr">
        <is>
          <t>1月</t>
        </is>
      </c>
      <c r="B13" s="45">
        <f>SUM('1月'!$G$6:$G$53)</f>
        <v/>
      </c>
      <c r="C13" s="45">
        <f>SUM('1月'!$L$6:$L$53)</f>
        <v/>
      </c>
      <c r="D13" s="45">
        <f>SUM('1月'!$M$6:$M$53)</f>
        <v/>
      </c>
      <c r="E13" s="77">
        <f>'1月'!B26</f>
        <v/>
      </c>
      <c r="F13" s="45">
        <f>'1月'!B24</f>
        <v/>
      </c>
    </row>
    <row r="14">
      <c r="A14" s="77" t="inlineStr">
        <is>
          <t>2月</t>
        </is>
      </c>
      <c r="B14" s="45" t="inlineStr">
        <is>
          <t>— 製品版のみ —</t>
        </is>
      </c>
      <c r="C14" s="45" t="n"/>
      <c r="D14" s="45" t="n"/>
      <c r="E14" s="77" t="n"/>
      <c r="F14" s="45" t="n"/>
    </row>
    <row r="15">
      <c r="A15" s="77" t="inlineStr">
        <is>
          <t>3月</t>
        </is>
      </c>
      <c r="B15" s="45" t="inlineStr">
        <is>
          <t>— 製品版のみ —</t>
        </is>
      </c>
      <c r="C15" s="45" t="n"/>
      <c r="D15" s="45" t="n"/>
      <c r="E15" s="77" t="n"/>
      <c r="F15" s="45" t="n"/>
    </row>
    <row r="16">
      <c r="A16" s="77" t="inlineStr">
        <is>
          <t>4月</t>
        </is>
      </c>
      <c r="B16" s="45" t="inlineStr">
        <is>
          <t>— 製品版のみ —</t>
        </is>
      </c>
      <c r="C16" s="45" t="n"/>
      <c r="D16" s="45" t="n"/>
      <c r="E16" s="77" t="n"/>
      <c r="F16" s="45" t="n"/>
    </row>
    <row r="17">
      <c r="A17" s="77" t="inlineStr">
        <is>
          <t>5月</t>
        </is>
      </c>
      <c r="B17" s="45" t="inlineStr">
        <is>
          <t>— 製品版のみ —</t>
        </is>
      </c>
      <c r="C17" s="45" t="n"/>
      <c r="D17" s="45" t="n"/>
      <c r="E17" s="77" t="n"/>
      <c r="F17" s="45" t="n"/>
    </row>
    <row r="18">
      <c r="A18" s="77" t="inlineStr">
        <is>
          <t>6月</t>
        </is>
      </c>
      <c r="B18" s="45" t="inlineStr">
        <is>
          <t>— 製品版のみ —</t>
        </is>
      </c>
      <c r="C18" s="45" t="n"/>
      <c r="D18" s="45" t="n"/>
      <c r="E18" s="77" t="n"/>
      <c r="F18" s="45" t="n"/>
    </row>
    <row r="19">
      <c r="A19" s="77" t="inlineStr">
        <is>
          <t>7月</t>
        </is>
      </c>
      <c r="B19" s="45" t="inlineStr">
        <is>
          <t>— 製品版のみ —</t>
        </is>
      </c>
      <c r="C19" s="45" t="n"/>
      <c r="D19" s="45" t="n"/>
      <c r="E19" s="77" t="n"/>
      <c r="F19" s="45" t="n"/>
    </row>
    <row r="20">
      <c r="A20" s="77" t="inlineStr">
        <is>
          <t>8月</t>
        </is>
      </c>
      <c r="B20" s="45" t="inlineStr">
        <is>
          <t>— 製品版のみ —</t>
        </is>
      </c>
      <c r="C20" s="45" t="n"/>
      <c r="D20" s="45" t="n"/>
      <c r="E20" s="77" t="n"/>
      <c r="F20" s="45" t="n"/>
    </row>
    <row r="21">
      <c r="A21" s="77" t="inlineStr">
        <is>
          <t>9月</t>
        </is>
      </c>
      <c r="B21" s="45" t="inlineStr">
        <is>
          <t>— 製品版のみ —</t>
        </is>
      </c>
      <c r="C21" s="45" t="n"/>
      <c r="D21" s="45" t="n"/>
      <c r="E21" s="77" t="n"/>
      <c r="F21" s="45" t="n"/>
    </row>
    <row r="22">
      <c r="A22" s="77" t="inlineStr">
        <is>
          <t>10月</t>
        </is>
      </c>
      <c r="B22" s="45" t="inlineStr">
        <is>
          <t>— 製品版のみ —</t>
        </is>
      </c>
      <c r="C22" s="45" t="n"/>
      <c r="D22" s="45" t="n"/>
      <c r="E22" s="77" t="n"/>
      <c r="F22" s="45" t="n"/>
    </row>
    <row r="23">
      <c r="A23" s="77" t="inlineStr">
        <is>
          <t>11月</t>
        </is>
      </c>
      <c r="B23" s="45" t="inlineStr">
        <is>
          <t>— 製品版のみ —</t>
        </is>
      </c>
      <c r="C23" s="45" t="n"/>
      <c r="D23" s="45" t="n"/>
      <c r="E23" s="77" t="n"/>
      <c r="F23" s="45" t="n"/>
    </row>
    <row r="24">
      <c r="A24" s="77" t="inlineStr">
        <is>
          <t>12月</t>
        </is>
      </c>
      <c r="B24" s="45" t="inlineStr">
        <is>
          <t>— 製品版のみ —</t>
        </is>
      </c>
      <c r="C24" s="45" t="n"/>
      <c r="D24" s="45" t="n"/>
      <c r="E24" s="77" t="n"/>
      <c r="F24" s="45" t="n"/>
    </row>
    <row r="25">
      <c r="A25" s="53" t="inlineStr">
        <is>
          <t>合計</t>
        </is>
      </c>
      <c r="B25" s="52">
        <f>SUM(B13:B24)</f>
        <v/>
      </c>
      <c r="C25" s="52">
        <f>SUM(C13:C24)</f>
        <v/>
      </c>
      <c r="D25" s="52">
        <f>SUM(D13:D24)</f>
        <v/>
      </c>
      <c r="E25" s="53" t="n"/>
      <c r="F25" s="52">
        <f>SUM(F13:F24)</f>
        <v/>
      </c>
    </row>
    <row r="26"/>
    <row r="27">
      <c r="A27" s="37" t="inlineStr">
        <is>
          <t>📋 カテゴリ別 年間支出</t>
        </is>
      </c>
      <c r="B27" s="37" t="n"/>
      <c r="C27" s="37" t="n"/>
      <c r="D27" s="37" t="n"/>
      <c r="E27" s="37" t="n"/>
      <c r="F27" s="37" t="n"/>
    </row>
    <row r="28">
      <c r="A28" s="39" t="inlineStr">
        <is>
          <t>カテゴリ</t>
        </is>
      </c>
      <c r="B28" s="39" t="inlineStr">
        <is>
          <t>年間合計</t>
        </is>
      </c>
      <c r="C28" s="39" t="inlineStr">
        <is>
          <t>構成比</t>
        </is>
      </c>
      <c r="D28" s="39" t="n"/>
      <c r="E28" s="39" t="n"/>
      <c r="F28" s="39" t="n"/>
    </row>
    <row r="29">
      <c r="A29" s="77" t="inlineStr">
        <is>
          <t>🏠 家賃</t>
        </is>
      </c>
      <c r="B29" s="58">
        <f>SUMIF('1月'!$E$6:$E$53,"🏠 家賃",'1月'!$G$6:$G$53)</f>
        <v/>
      </c>
      <c r="C29" s="59">
        <f>IFERROR(B29/$B$6,"")</f>
        <v/>
      </c>
    </row>
    <row r="30">
      <c r="A30" s="77" t="inlineStr">
        <is>
          <t>💡 光熱費</t>
        </is>
      </c>
      <c r="B30" s="58">
        <f>SUMIF('1月'!$E$6:$E$53,"💡 光熱費",'1月'!$G$6:$G$53)</f>
        <v/>
      </c>
      <c r="C30" s="59">
        <f>IFERROR(B30/$B$6,"")</f>
        <v/>
      </c>
    </row>
    <row r="31">
      <c r="A31" s="77" t="inlineStr">
        <is>
          <t>🍜 食費</t>
        </is>
      </c>
      <c r="B31" s="58">
        <f>SUMIF('1月'!$E$6:$E$53,"🍜 食費",'1月'!$G$6:$G$53)</f>
        <v/>
      </c>
      <c r="C31" s="59">
        <f>IFERROR(B31/$B$6,"")</f>
        <v/>
      </c>
    </row>
    <row r="32">
      <c r="A32" s="77" t="inlineStr">
        <is>
          <t>🛍️ 日用品</t>
        </is>
      </c>
      <c r="B32" s="58">
        <f>SUMIF('1月'!$E$6:$E$53,"🛍️ 日用品",'1月'!$G$6:$G$53)</f>
        <v/>
      </c>
      <c r="C32" s="59">
        <f>IFERROR(B32/$B$6,"")</f>
        <v/>
      </c>
    </row>
    <row r="33">
      <c r="A33" s="77" t="inlineStr">
        <is>
          <t>🛋️ 家具家電</t>
        </is>
      </c>
      <c r="B33" s="58">
        <f>SUMIF('1月'!$E$6:$E$53,"🛋️ 家具家電",'1月'!$G$6:$G$53)</f>
        <v/>
      </c>
      <c r="C33" s="59">
        <f>IFERROR(B33/$B$6,"")</f>
        <v/>
      </c>
    </row>
    <row r="34">
      <c r="A34" s="77" t="inlineStr">
        <is>
          <t>🎁 イベント</t>
        </is>
      </c>
      <c r="B34" s="58">
        <f>SUMIF('1月'!$E$6:$E$53,"🎁 イベント",'1月'!$G$6:$G$53)</f>
        <v/>
      </c>
      <c r="C34" s="59">
        <f>IFERROR(B34/$B$6,"")</f>
        <v/>
      </c>
    </row>
    <row r="35">
      <c r="A35" s="77" t="inlineStr">
        <is>
          <t>📚 教育</t>
        </is>
      </c>
      <c r="B35" s="58">
        <f>SUMIF('1月'!$E$6:$E$53,"📚 教育",'1月'!$G$6:$G$53)</f>
        <v/>
      </c>
      <c r="C35" s="59">
        <f>IFERROR(B35/$B$6,"")</f>
        <v/>
      </c>
    </row>
    <row r="36">
      <c r="A36" s="77" t="inlineStr">
        <is>
          <t>🚃 交通</t>
        </is>
      </c>
      <c r="B36" s="58">
        <f>SUMIF('1月'!$E$6:$E$53,"🚃 交通",'1月'!$G$6:$G$53)</f>
        <v/>
      </c>
      <c r="C36" s="59">
        <f>IFERROR(B36/$B$6,"")</f>
        <v/>
      </c>
    </row>
    <row r="37">
      <c r="A37" s="77" t="inlineStr">
        <is>
          <t>💄 美容</t>
        </is>
      </c>
      <c r="B37" s="58">
        <f>SUMIF('1月'!$E$6:$E$53,"💄 美容",'1月'!$G$6:$G$53)</f>
        <v/>
      </c>
      <c r="C37" s="59">
        <f>IFERROR(B37/$B$6,"")</f>
        <v/>
      </c>
    </row>
    <row r="38">
      <c r="A38" s="77" t="inlineStr">
        <is>
          <t>🏥 医療</t>
        </is>
      </c>
      <c r="B38" s="58">
        <f>SUMIF('1月'!$E$6:$E$53,"🏥 医療",'1月'!$G$6:$G$53)</f>
        <v/>
      </c>
      <c r="C38" s="59">
        <f>IFERROR(B38/$B$6,"")</f>
        <v/>
      </c>
    </row>
    <row r="39">
      <c r="A39" s="77" t="inlineStr">
        <is>
          <t>💰 税金</t>
        </is>
      </c>
      <c r="B39" s="58">
        <f>SUMIF('1月'!$E$6:$E$53,"💰 税金",'1月'!$G$6:$G$53)</f>
        <v/>
      </c>
      <c r="C39" s="59">
        <f>IFERROR(B39/$B$6,"")</f>
        <v/>
      </c>
    </row>
    <row r="40">
      <c r="A40" s="77" t="inlineStr">
        <is>
          <t>📌 その他</t>
        </is>
      </c>
      <c r="B40" s="58">
        <f>SUMIF('1月'!$E$6:$E$53,"📌 その他",'1月'!$G$6:$G$53)</f>
        <v/>
      </c>
      <c r="C40" s="59">
        <f>IFERROR(B40/$B$6,"")</f>
        <v/>
      </c>
    </row>
  </sheetData>
  <pageMargins left="0.75" right="0.75" top="1" bottom="1" header="0.5" footer="0.5"/>
  <drawing xmlns:r="http://schemas.openxmlformats.org/officeDocument/2006/relationships" r:id="rId1"/>
  <tableParts count="2"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tabColor rgb="FFF1C4CE"/>
    <outlinePr summaryBelow="0" summaryRight="0"/>
    <pageSetUpPr/>
  </sheetPr>
  <dimension ref="A1:N53"/>
  <sheetViews>
    <sheetView workbookViewId="0">
      <pane ySplit="5" topLeftCell="A6" activePane="bottomLeft" state="frozen"/>
      <selection pane="bottomLeft" activeCell="B7" sqref="B7"/>
    </sheetView>
  </sheetViews>
  <sheetFormatPr baseColWidth="8" defaultColWidth="12.63" defaultRowHeight="15.75" customHeight="1"/>
  <cols>
    <col width="25.13" customWidth="1" style="78" min="1" max="1"/>
    <col width="13.88" customWidth="1" style="78" min="2" max="3"/>
    <col width="3.13" customWidth="1" style="78" min="4" max="4"/>
    <col width="15.13" customWidth="1" style="78" min="5" max="5"/>
    <col width="22.63" customWidth="1" style="78" min="6" max="6"/>
    <col width="13.88" customWidth="1" style="78" min="7" max="7"/>
    <col width="18.88" customWidth="1" style="78" min="8" max="8"/>
    <col width="11.38" customWidth="1" style="78" min="9" max="9"/>
    <col width="12.63" customWidth="1" style="78" min="10" max="10"/>
    <col width="16.38" customWidth="1" style="78" min="11" max="11"/>
    <col width="13.88" customWidth="1" style="78" min="12" max="13"/>
    <col width="20.13" customWidth="1" style="78" min="14" max="14"/>
  </cols>
  <sheetData>
    <row r="1" ht="36" customHeight="1" s="78">
      <c r="A1" s="2" t="inlineStr">
        <is>
          <t>1月 家計簿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10" t="n"/>
      <c r="B2" s="10" t="n"/>
      <c r="C2" s="10" t="n"/>
      <c r="D2" s="11" t="n"/>
      <c r="E2" s="10" t="n"/>
      <c r="F2" s="10" t="n"/>
      <c r="G2" s="10" t="n"/>
      <c r="H2" s="10" t="n"/>
      <c r="I2" s="10" t="n"/>
      <c r="J2" s="10" t="n"/>
      <c r="K2" s="10" t="n"/>
      <c r="L2" s="10" t="n"/>
      <c r="M2" s="10" t="n"/>
      <c r="N2" s="10" t="n"/>
    </row>
    <row r="3" ht="24" customHeight="1" s="78">
      <c r="A3" s="12" t="inlineStr">
        <is>
          <t>📊 月次サマリー</t>
        </is>
      </c>
      <c r="D3" s="13" t="n"/>
      <c r="E3" s="14" t="inlineStr">
        <is>
          <t>📝 取引一覧</t>
        </is>
      </c>
    </row>
    <row r="4">
      <c r="A4" s="49" t="n"/>
      <c r="B4" s="16" t="n"/>
      <c r="C4" s="50" t="n"/>
      <c r="D4" s="44" t="n"/>
    </row>
    <row r="5">
      <c r="A5" s="55" t="inlineStr">
        <is>
          <t>📌 カテゴリ別</t>
        </is>
      </c>
      <c r="B5" s="56" t="inlineStr">
        <is>
          <t>金額</t>
        </is>
      </c>
      <c r="C5" s="22" t="n"/>
      <c r="D5" s="44" t="n"/>
      <c r="E5" s="56" t="inlineStr">
        <is>
          <t>📝 カテゴリ</t>
        </is>
      </c>
      <c r="F5" s="56" t="inlineStr">
        <is>
          <t>内容</t>
        </is>
      </c>
      <c r="G5" s="56" t="inlineStr">
        <is>
          <t>💴 金額</t>
        </is>
      </c>
      <c r="H5" s="56" t="inlineStr">
        <is>
          <t>💳 支払元</t>
        </is>
      </c>
      <c r="I5" s="56" t="inlineStr">
        <is>
          <t>負担区分</t>
        </is>
      </c>
      <c r="J5" s="56" t="inlineStr">
        <is>
          <t>支払者 (自動)</t>
        </is>
      </c>
      <c r="K5" s="56" t="inlineStr">
        <is>
          <t>引落先 (自動)</t>
        </is>
      </c>
      <c r="L5" s="56">
        <f>'設定'!$B$3&amp;" 負担額"</f>
        <v/>
      </c>
      <c r="M5" s="56">
        <f>'設定'!$B$4&amp;" 負担額"</f>
        <v/>
      </c>
      <c r="N5" s="56" t="inlineStr">
        <is>
          <t>📝 メモ</t>
        </is>
      </c>
    </row>
    <row r="6" ht="15.75" customHeight="1" s="78">
      <c r="A6" s="49" t="inlineStr">
        <is>
          <t>🏠 家賃</t>
        </is>
      </c>
      <c r="B6" s="50">
        <f>SUMIF($E$6:$E$53,A6,$G$6:$G$53)</f>
        <v/>
      </c>
      <c r="C6" s="33" t="n"/>
      <c r="D6" s="44" t="n"/>
      <c r="E6" s="31" t="inlineStr">
        <is>
          <t>🏠 家賃</t>
        </is>
      </c>
      <c r="F6" s="31" t="inlineStr">
        <is>
          <t>1月分 家賃</t>
        </is>
      </c>
      <c r="G6" s="32" t="n">
        <v>120000</v>
      </c>
      <c r="H6" s="31" t="inlineStr">
        <is>
          <t>共有口座</t>
        </is>
      </c>
      <c r="I6" s="31" t="inlineStr">
        <is>
          <t>共有</t>
        </is>
      </c>
      <c r="J6" s="31">
        <f>IFERROR(VLOOKUP(H6,'設定'!$A$11:$B$30,2,FALSE),"")</f>
        <v/>
      </c>
      <c r="K6" s="31">
        <f>IFERROR(VLOOKUP(H6,'設定'!$A$11:$C$30,3,FALSE),"")</f>
        <v/>
      </c>
      <c r="L6" s="32">
        <f>IF(G6="","",IF(I6='設定'!$E$2,G6*'設定'!$B$5/100,IF(I6='設定'!$E$3,G6,IF(I6='設定'!$E$4,0,0))))</f>
        <v/>
      </c>
      <c r="M6" s="32">
        <f>IF(G6="","",IF(I6='設定'!$E$2,G6*'設定'!$B$6/100,IF(I6='設定'!$E$4,G6,IF(I6='設定'!$E$3,0,0))))</f>
        <v/>
      </c>
      <c r="N6" s="31" t="inlineStr"/>
    </row>
    <row r="7" ht="15.75" customHeight="1" s="78">
      <c r="A7" s="49" t="inlineStr">
        <is>
          <t>💡 光熱費</t>
        </is>
      </c>
      <c r="B7" s="50">
        <f>SUMIF($E$6:$E$53,A7,$G$6:$G$53)</f>
        <v/>
      </c>
      <c r="C7" s="33" t="n"/>
      <c r="D7" s="44" t="n"/>
      <c r="E7" s="31" t="inlineStr">
        <is>
          <t>💡 光熱費</t>
        </is>
      </c>
      <c r="F7" s="31" t="inlineStr">
        <is>
          <t>電気・ガス・水道</t>
        </is>
      </c>
      <c r="G7" s="32" t="n">
        <v>18400</v>
      </c>
      <c r="H7" s="31" t="inlineStr">
        <is>
          <t>共有口座</t>
        </is>
      </c>
      <c r="I7" s="31" t="inlineStr">
        <is>
          <t>共有</t>
        </is>
      </c>
      <c r="J7" s="31">
        <f>IFERROR(VLOOKUP(H7,'設定'!$A$11:$B$30,2,FALSE),"")</f>
        <v/>
      </c>
      <c r="K7" s="31">
        <f>IFERROR(VLOOKUP(H7,'設定'!$A$11:$C$30,3,FALSE),"")</f>
        <v/>
      </c>
      <c r="L7" s="32">
        <f>IF(G7="","",IF(I7='設定'!$E$2,G7*'設定'!$B$5/100,IF(I7='設定'!$E$3,G7,IF(I7='設定'!$E$4,0,0))))</f>
        <v/>
      </c>
      <c r="M7" s="32">
        <f>IF(G7="","",IF(I7='設定'!$E$2,G7*'設定'!$B$6/100,IF(I7='設定'!$E$4,G7,IF(I7='設定'!$E$3,0,0))))</f>
        <v/>
      </c>
      <c r="N7" s="31" t="inlineStr"/>
    </row>
    <row r="8" ht="15.75" customHeight="1" s="78">
      <c r="A8" s="49" t="inlineStr">
        <is>
          <t>🍜 食費</t>
        </is>
      </c>
      <c r="B8" s="50">
        <f>SUMIF($E$6:$E$53,A8,$G$6:$G$53)</f>
        <v/>
      </c>
      <c r="C8" s="33" t="n"/>
      <c r="D8" s="44" t="n"/>
      <c r="E8" s="31" t="inlineStr">
        <is>
          <t>🍜 食費</t>
        </is>
      </c>
      <c r="F8" s="31" t="inlineStr">
        <is>
          <t>スーパー・外食まとめ</t>
        </is>
      </c>
      <c r="G8" s="32" t="n">
        <v>62800</v>
      </c>
      <c r="H8" s="31" t="inlineStr">
        <is>
          <t>クレカ (Aさん)</t>
        </is>
      </c>
      <c r="I8" s="31" t="inlineStr">
        <is>
          <t>共有</t>
        </is>
      </c>
      <c r="J8" s="31">
        <f>IFERROR(VLOOKUP(H8,'設定'!$A$11:$B$30,2,FALSE),"")</f>
        <v/>
      </c>
      <c r="K8" s="31">
        <f>IFERROR(VLOOKUP(H8,'設定'!$A$11:$C$30,3,FALSE),"")</f>
        <v/>
      </c>
      <c r="L8" s="32">
        <f>IF(G8="","",IF(I8='設定'!$E$2,G8*'設定'!$B$5/100,IF(I8='設定'!$E$3,G8,IF(I8='設定'!$E$4,0,0))))</f>
        <v/>
      </c>
      <c r="M8" s="32">
        <f>IF(G8="","",IF(I8='設定'!$E$2,G8*'設定'!$B$6/100,IF(I8='設定'!$E$4,G8,IF(I8='設定'!$E$3,0,0))))</f>
        <v/>
      </c>
      <c r="N8" s="31" t="inlineStr"/>
    </row>
    <row r="9" ht="15.75" customHeight="1" s="78">
      <c r="A9" s="49" t="inlineStr">
        <is>
          <t>🛍️ 日用品</t>
        </is>
      </c>
      <c r="B9" s="50">
        <f>SUMIF($E$6:$E$53,A9,$G$6:$G$53)</f>
        <v/>
      </c>
      <c r="C9" s="33" t="n"/>
      <c r="D9" s="44" t="n"/>
      <c r="E9" s="31" t="inlineStr">
        <is>
          <t>🛍️ 日用品</t>
        </is>
      </c>
      <c r="F9" s="31" t="inlineStr">
        <is>
          <t>洗剤・トイレットペーパー等</t>
        </is>
      </c>
      <c r="G9" s="32" t="n">
        <v>9800</v>
      </c>
      <c r="H9" s="31" t="inlineStr">
        <is>
          <t>クレカ (Bさん)</t>
        </is>
      </c>
      <c r="I9" s="31" t="inlineStr">
        <is>
          <t>共有</t>
        </is>
      </c>
      <c r="J9" s="31">
        <f>IFERROR(VLOOKUP(H9,'設定'!$A$11:$B$30,2,FALSE),"")</f>
        <v/>
      </c>
      <c r="K9" s="31">
        <f>IFERROR(VLOOKUP(H9,'設定'!$A$11:$C$30,3,FALSE),"")</f>
        <v/>
      </c>
      <c r="L9" s="32">
        <f>IF(G9="","",IF(I9='設定'!$E$2,G9*'設定'!$B$5/100,IF(I9='設定'!$E$3,G9,IF(I9='設定'!$E$4,0,0))))</f>
        <v/>
      </c>
      <c r="M9" s="32">
        <f>IF(G9="","",IF(I9='設定'!$E$2,G9*'設定'!$B$6/100,IF(I9='設定'!$E$4,G9,IF(I9='設定'!$E$3,0,0))))</f>
        <v/>
      </c>
      <c r="N9" s="31" t="inlineStr"/>
    </row>
    <row r="10" ht="15.75" customHeight="1" s="78">
      <c r="A10" s="49" t="inlineStr">
        <is>
          <t>🛋️ 家具家電</t>
        </is>
      </c>
      <c r="B10" s="50">
        <f>SUMIF($E$6:$E$53,A10,$G$6:$G$53)</f>
        <v/>
      </c>
      <c r="C10" s="33" t="n"/>
      <c r="D10" s="44" t="n"/>
      <c r="E10" s="31" t="inlineStr">
        <is>
          <t>🚃 交通</t>
        </is>
      </c>
      <c r="F10" s="31" t="inlineStr">
        <is>
          <t>定期・タクシー</t>
        </is>
      </c>
      <c r="G10" s="32" t="n">
        <v>12000</v>
      </c>
      <c r="H10" s="31" t="inlineStr">
        <is>
          <t>クレカ (Aさん)</t>
        </is>
      </c>
      <c r="I10" s="31" t="inlineStr">
        <is>
          <t>共有</t>
        </is>
      </c>
      <c r="J10" s="31">
        <f>IFERROR(VLOOKUP(H10,'設定'!$A$11:$B$30,2,FALSE),"")</f>
        <v/>
      </c>
      <c r="K10" s="31">
        <f>IFERROR(VLOOKUP(H10,'設定'!$A$11:$C$30,3,FALSE),"")</f>
        <v/>
      </c>
      <c r="L10" s="32">
        <f>IF(G10="","",IF(I10='設定'!$E$2,G10*'設定'!$B$5/100,IF(I10='設定'!$E$3,G10,IF(I10='設定'!$E$4,0,0))))</f>
        <v/>
      </c>
      <c r="M10" s="32">
        <f>IF(G10="","",IF(I10='設定'!$E$2,G10*'設定'!$B$6/100,IF(I10='設定'!$E$4,G10,IF(I10='設定'!$E$3,0,0))))</f>
        <v/>
      </c>
      <c r="N10" s="31" t="inlineStr"/>
    </row>
    <row r="11" ht="15.75" customHeight="1" s="78">
      <c r="A11" s="49" t="inlineStr">
        <is>
          <t>🎁 イベント</t>
        </is>
      </c>
      <c r="B11" s="50">
        <f>SUMIF($E$6:$E$53,A11,$G$6:$G$53)</f>
        <v/>
      </c>
      <c r="C11" s="33" t="n"/>
      <c r="D11" s="44" t="n"/>
      <c r="E11" s="31" t="inlineStr">
        <is>
          <t>🎁 イベント</t>
        </is>
      </c>
      <c r="F11" s="31" t="inlineStr">
        <is>
          <t>友人の結婚祝い</t>
        </is>
      </c>
      <c r="G11" s="32" t="n">
        <v>22000</v>
      </c>
      <c r="H11" s="31" t="inlineStr">
        <is>
          <t>クレカ (Aさん)</t>
        </is>
      </c>
      <c r="I11" s="31" t="inlineStr">
        <is>
          <t>共有</t>
        </is>
      </c>
      <c r="J11" s="31">
        <f>IFERROR(VLOOKUP(H11,'設定'!$A$11:$B$30,2,FALSE),"")</f>
        <v/>
      </c>
      <c r="K11" s="31">
        <f>IFERROR(VLOOKUP(H11,'設定'!$A$11:$C$30,3,FALSE),"")</f>
        <v/>
      </c>
      <c r="L11" s="32">
        <f>IF(G11="","",IF(I11='設定'!$E$2,G11*'設定'!$B$5/100,IF(I11='設定'!$E$3,G11,IF(I11='設定'!$E$4,0,0))))</f>
        <v/>
      </c>
      <c r="M11" s="32">
        <f>IF(G11="","",IF(I11='設定'!$E$2,G11*'設定'!$B$6/100,IF(I11='設定'!$E$4,G11,IF(I11='設定'!$E$3,0,0))))</f>
        <v/>
      </c>
      <c r="N11" s="31" t="inlineStr"/>
    </row>
    <row r="12" ht="15.75" customHeight="1" s="78">
      <c r="A12" s="49" t="inlineStr">
        <is>
          <t>📚 教育</t>
        </is>
      </c>
      <c r="B12" s="50">
        <f>SUMIF($E$6:$E$53,A12,$G$6:$G$53)</f>
        <v/>
      </c>
      <c r="C12" s="33" t="n"/>
      <c r="D12" s="44" t="n"/>
      <c r="E12" s="31" t="inlineStr">
        <is>
          <t>💄 美容</t>
        </is>
      </c>
      <c r="F12" s="31" t="inlineStr">
        <is>
          <t>美容院（個人）</t>
        </is>
      </c>
      <c r="G12" s="32" t="n">
        <v>15000</v>
      </c>
      <c r="H12" s="31" t="inlineStr">
        <is>
          <t>クレカ (Bさん)</t>
        </is>
      </c>
      <c r="I12" s="31" t="inlineStr">
        <is>
          <t>Bさん負担</t>
        </is>
      </c>
      <c r="J12" s="31">
        <f>IFERROR(VLOOKUP(H12,'設定'!$A$11:$B$30,2,FALSE),"")</f>
        <v/>
      </c>
      <c r="K12" s="31">
        <f>IFERROR(VLOOKUP(H12,'設定'!$A$11:$C$30,3,FALSE),"")</f>
        <v/>
      </c>
      <c r="L12" s="32">
        <f>IF(G12="","",IF(I12='設定'!$E$2,G12*'設定'!$B$5/100,IF(I12='設定'!$E$3,G12,IF(I12='設定'!$E$4,0,0))))</f>
        <v/>
      </c>
      <c r="M12" s="32">
        <f>IF(G12="","",IF(I12='設定'!$E$2,G12*'設定'!$B$6/100,IF(I12='設定'!$E$4,G12,IF(I12='設定'!$E$3,0,0))))</f>
        <v/>
      </c>
      <c r="N12" s="31" t="inlineStr"/>
    </row>
    <row r="13" ht="15.75" customHeight="1" s="78">
      <c r="A13" s="49" t="inlineStr">
        <is>
          <t>🚃 交通</t>
        </is>
      </c>
      <c r="B13" s="50">
        <f>SUMIF($E$6:$E$53,A13,$G$6:$G$53)</f>
        <v/>
      </c>
      <c r="C13" s="33" t="n"/>
      <c r="D13" s="44" t="n"/>
      <c r="E13" s="31" t="inlineStr">
        <is>
          <t>🏥 医療</t>
        </is>
      </c>
      <c r="F13" s="31" t="inlineStr">
        <is>
          <t>歯科（個人）</t>
        </is>
      </c>
      <c r="G13" s="32" t="n">
        <v>4500</v>
      </c>
      <c r="H13" s="31" t="inlineStr">
        <is>
          <t>現金 (Aさん)</t>
        </is>
      </c>
      <c r="I13" s="31" t="inlineStr">
        <is>
          <t>Aさん負担</t>
        </is>
      </c>
      <c r="J13" s="31">
        <f>IFERROR(VLOOKUP(H13,'設定'!$A$11:$B$30,2,FALSE),"")</f>
        <v/>
      </c>
      <c r="K13" s="31">
        <f>IFERROR(VLOOKUP(H13,'設定'!$A$11:$C$30,3,FALSE),"")</f>
        <v/>
      </c>
      <c r="L13" s="32">
        <f>IF(G13="","",IF(I13='設定'!$E$2,G13*'設定'!$B$5/100,IF(I13='設定'!$E$3,G13,IF(I13='設定'!$E$4,0,0))))</f>
        <v/>
      </c>
      <c r="M13" s="32">
        <f>IF(G13="","",IF(I13='設定'!$E$2,G13*'設定'!$B$6/100,IF(I13='設定'!$E$4,G13,IF(I13='設定'!$E$3,0,0))))</f>
        <v/>
      </c>
      <c r="N13" s="31" t="inlineStr"/>
    </row>
    <row r="14" ht="15.75" customHeight="1" s="78">
      <c r="A14" s="49" t="inlineStr">
        <is>
          <t>💄 美容</t>
        </is>
      </c>
      <c r="B14" s="50">
        <f>SUMIF($E$6:$E$53,A14,$G$6:$G$53)</f>
        <v/>
      </c>
      <c r="C14" s="33" t="n"/>
      <c r="D14" s="44" t="n"/>
      <c r="E14" s="31" t="n"/>
      <c r="F14" s="31" t="n"/>
      <c r="G14" s="32" t="n"/>
      <c r="H14" s="31" t="n"/>
      <c r="I14" s="31" t="n"/>
      <c r="J14" s="31">
        <f>IFERROR(VLOOKUP(H14,'設定'!$A$11:$B$30,2,FALSE),"")</f>
        <v/>
      </c>
      <c r="K14" s="31">
        <f>IFERROR(VLOOKUP(H14,'設定'!$A$11:$C$30,3,FALSE),"")</f>
        <v/>
      </c>
      <c r="L14" s="32">
        <f>IF(G14="","",IF(I14='設定'!$E$2,G14*'設定'!$B$5/100,IF(I14='設定'!$E$3,G14,IF(I14='設定'!$E$4,0,0))))</f>
        <v/>
      </c>
      <c r="M14" s="32">
        <f>IF(G14="","",IF(I14='設定'!$E$2,G14*'設定'!$B$6/100,IF(I14='設定'!$E$4,G14,IF(I14='設定'!$E$3,0,0))))</f>
        <v/>
      </c>
      <c r="N14" s="31" t="inlineStr"/>
    </row>
    <row r="15" ht="15.75" customHeight="1" s="78">
      <c r="A15" s="49" t="inlineStr">
        <is>
          <t>🏥 医療</t>
        </is>
      </c>
      <c r="B15" s="50">
        <f>SUMIF($E$6:$E$53,A15,$G$6:$G$53)</f>
        <v/>
      </c>
      <c r="C15" s="33" t="n"/>
      <c r="D15" s="44" t="n"/>
      <c r="E15" s="31" t="n"/>
      <c r="F15" s="31" t="n"/>
      <c r="G15" s="32" t="n"/>
      <c r="H15" s="31" t="n"/>
      <c r="I15" s="31" t="n"/>
      <c r="J15" s="31">
        <f>IFERROR(VLOOKUP(H15,'設定'!$A$11:$B$30,2,FALSE),"")</f>
        <v/>
      </c>
      <c r="K15" s="31">
        <f>IFERROR(VLOOKUP(H15,'設定'!$A$11:$C$30,3,FALSE),"")</f>
        <v/>
      </c>
      <c r="L15" s="32">
        <f>IF(G15="","",IF(I15='設定'!$E$2,G15*'設定'!$B$5/100,IF(I15='設定'!$E$3,G15,IF(I15='設定'!$E$4,0,0))))</f>
        <v/>
      </c>
      <c r="M15" s="32">
        <f>IF(G15="","",IF(I15='設定'!$E$2,G15*'設定'!$B$6/100,IF(I15='設定'!$E$4,G15,IF(I15='設定'!$E$3,0,0))))</f>
        <v/>
      </c>
      <c r="N15" s="31" t="inlineStr"/>
    </row>
    <row r="16" ht="15.75" customHeight="1" s="78">
      <c r="A16" s="49" t="inlineStr">
        <is>
          <t>💰 税金</t>
        </is>
      </c>
      <c r="B16" s="50">
        <f>SUMIF($E$6:$E$53,A16,$G$6:$G$53)</f>
        <v/>
      </c>
      <c r="C16" s="33" t="n"/>
      <c r="D16" s="44" t="n"/>
      <c r="E16" s="31" t="n"/>
      <c r="F16" s="31" t="n"/>
      <c r="G16" s="32" t="n"/>
      <c r="H16" s="31" t="n"/>
      <c r="I16" s="31" t="n"/>
      <c r="J16" s="31">
        <f>IFERROR(VLOOKUP(H16,'設定'!$A$11:$B$30,2,FALSE),"")</f>
        <v/>
      </c>
      <c r="K16" s="31">
        <f>IFERROR(VLOOKUP(H16,'設定'!$A$11:$C$30,3,FALSE),"")</f>
        <v/>
      </c>
      <c r="L16" s="32">
        <f>IF(G16="","",IF(I16='設定'!$E$2,G16*'設定'!$B$5/100,IF(I16='設定'!$E$3,G16,IF(I16='設定'!$E$4,0,0))))</f>
        <v/>
      </c>
      <c r="M16" s="32">
        <f>IF(G16="","",IF(I16='設定'!$E$2,G16*'設定'!$B$6/100,IF(I16='設定'!$E$4,G16,IF(I16='設定'!$E$3,0,0))))</f>
        <v/>
      </c>
      <c r="N16" s="31" t="inlineStr"/>
    </row>
    <row r="17" ht="15.75" customHeight="1" s="78">
      <c r="A17" s="49" t="inlineStr">
        <is>
          <t>📌 その他</t>
        </is>
      </c>
      <c r="B17" s="50">
        <f>SUMIF($E$6:$E$53,A17,$G$6:$G$53)</f>
        <v/>
      </c>
      <c r="C17" s="33" t="n"/>
      <c r="D17" s="44" t="n"/>
      <c r="E17" s="31" t="n"/>
      <c r="F17" s="31" t="n"/>
      <c r="G17" s="32" t="n"/>
      <c r="H17" s="31" t="n"/>
      <c r="I17" s="31" t="n"/>
      <c r="J17" s="31">
        <f>IFERROR(VLOOKUP(H17,'設定'!$A$11:$B$30,2,FALSE),"")</f>
        <v/>
      </c>
      <c r="K17" s="31">
        <f>IFERROR(VLOOKUP(H17,'設定'!$A$11:$C$30,3,FALSE),"")</f>
        <v/>
      </c>
      <c r="L17" s="32">
        <f>IF(G17="","",IF(I17='設定'!$E$2,G17*'設定'!$B$5/100,IF(I17='設定'!$E$3,G17,IF(I17='設定'!$E$4,0,0))))</f>
        <v/>
      </c>
      <c r="M17" s="32">
        <f>IF(G17="","",IF(I17='設定'!$E$2,G17*'設定'!$B$6/100,IF(I17='設定'!$E$4,G17,IF(I17='設定'!$E$3,0,0))))</f>
        <v/>
      </c>
      <c r="N17" s="31" t="inlineStr"/>
    </row>
    <row r="18" ht="15.75" customHeight="1" s="78">
      <c r="A18" s="46" t="inlineStr">
        <is>
          <t>✨ 月間総支出</t>
        </is>
      </c>
      <c r="B18" s="47">
        <f>SUM(G6:G53)</f>
        <v/>
      </c>
      <c r="C18" s="48" t="n"/>
      <c r="D18" s="44" t="n"/>
      <c r="E18" s="31" t="n"/>
      <c r="F18" s="31" t="n"/>
      <c r="G18" s="32" t="n"/>
      <c r="H18" s="31" t="n"/>
      <c r="I18" s="31" t="n"/>
      <c r="J18" s="31">
        <f>IFERROR(VLOOKUP(H18,'設定'!$A$11:$B$30,2,FALSE),"")</f>
        <v/>
      </c>
      <c r="K18" s="31">
        <f>IFERROR(VLOOKUP(H18,'設定'!$A$11:$C$30,3,FALSE),"")</f>
        <v/>
      </c>
      <c r="L18" s="32">
        <f>IF(G18="","",IF(I18='設定'!$E$2,G18*'設定'!$B$5/100,IF(I18='設定'!$E$3,G18,IF(I18='設定'!$E$4,0,0))))</f>
        <v/>
      </c>
      <c r="M18" s="32">
        <f>IF(G18="","",IF(I18='設定'!$E$2,G18*'設定'!$B$6/100,IF(I18='設定'!$E$4,G18,IF(I18='設定'!$E$3,0,0))))</f>
        <v/>
      </c>
      <c r="N18" s="31" t="n"/>
    </row>
    <row r="19" ht="15.75" customHeight="1" s="78">
      <c r="A19" s="49" t="n"/>
      <c r="B19" s="50" t="n"/>
      <c r="C19" s="50" t="n"/>
      <c r="D19" s="44" t="n"/>
      <c r="E19" s="31" t="n"/>
      <c r="F19" s="31" t="n"/>
      <c r="G19" s="32" t="n"/>
      <c r="H19" s="31" t="n"/>
      <c r="I19" s="31" t="n"/>
      <c r="J19" s="31">
        <f>IFERROR(VLOOKUP(H19,'設定'!$A$11:$B$30,2,FALSE),"")</f>
        <v/>
      </c>
      <c r="K19" s="31">
        <f>IFERROR(VLOOKUP(H19,'設定'!$A$11:$C$30,3,FALSE),"")</f>
        <v/>
      </c>
      <c r="L19" s="32">
        <f>IF(G19="","",IF(I19='設定'!$E$2,G19*'設定'!$B$5/100,IF(I19='設定'!$E$3,G19,IF(I19='設定'!$E$4,0,0))))</f>
        <v/>
      </c>
      <c r="M19" s="32">
        <f>IF(G19="","",IF(I19='設定'!$E$2,G19*'設定'!$B$6/100,IF(I19='設定'!$E$4,G19,IF(I19='設定'!$E$3,0,0))))</f>
        <v/>
      </c>
      <c r="N19" s="31" t="n"/>
    </row>
    <row r="20" ht="15.75" customHeight="1" s="78">
      <c r="A20" s="12" t="inlineStr">
        <is>
          <t>💸 精算</t>
        </is>
      </c>
      <c r="D20" s="54" t="n"/>
      <c r="E20" s="31" t="n"/>
      <c r="F20" s="31" t="n"/>
      <c r="G20" s="32" t="n"/>
      <c r="H20" s="31" t="n"/>
      <c r="I20" s="31" t="n"/>
      <c r="J20" s="31">
        <f>IFERROR(VLOOKUP(H20,'設定'!$A$11:$B$30,2,FALSE),"")</f>
        <v/>
      </c>
      <c r="K20" s="31">
        <f>IFERROR(VLOOKUP(H20,'設定'!$A$11:$C$30,3,FALSE),"")</f>
        <v/>
      </c>
      <c r="L20" s="32">
        <f>IF(G20="","",IF(I20='設定'!$E$2,G20*'設定'!$B$5/100,IF(I20='設定'!$E$3,G20,IF(I20='設定'!$E$4,0,0))))</f>
        <v/>
      </c>
      <c r="M20" s="32">
        <f>IF(G20="","",IF(I20='設定'!$E$2,G20*'設定'!$B$6/100,IF(I20='設定'!$E$4,G20,IF(I20='設定'!$E$3,0,0))))</f>
        <v/>
      </c>
      <c r="N20" s="31" t="n"/>
    </row>
    <row r="21" ht="15.75" customHeight="1" s="78">
      <c r="A21" s="55" t="n"/>
      <c r="B21" s="56">
        <f>'設定'!$B$3</f>
        <v/>
      </c>
      <c r="C21" s="57">
        <f>'設定'!$B$4</f>
        <v/>
      </c>
      <c r="D21" s="44" t="n"/>
      <c r="E21" s="31" t="n"/>
      <c r="F21" s="31" t="n"/>
      <c r="G21" s="32" t="n"/>
      <c r="H21" s="31" t="n"/>
      <c r="I21" s="31" t="n"/>
      <c r="J21" s="31">
        <f>IFERROR(VLOOKUP(H21,'設定'!$A$11:$B$30,2,FALSE),"")</f>
        <v/>
      </c>
      <c r="K21" s="31">
        <f>IFERROR(VLOOKUP(H21,'設定'!$A$11:$C$30,3,FALSE),"")</f>
        <v/>
      </c>
      <c r="L21" s="32">
        <f>IF(G21="","",IF(I21='設定'!$E$2,G21*'設定'!$B$5/100,IF(I21='設定'!$E$3,G21,IF(I21='設定'!$E$4,0,0))))</f>
        <v/>
      </c>
      <c r="M21" s="32">
        <f>IF(G21="","",IF(I21='設定'!$E$2,G21*'設定'!$B$6/100,IF(I21='設定'!$E$4,G21,IF(I21='設定'!$E$3,0,0))))</f>
        <v/>
      </c>
      <c r="N21" s="31" t="n"/>
    </row>
    <row r="22" ht="15.75" customHeight="1" s="78">
      <c r="A22" s="60" t="inlineStr">
        <is>
          <t>実支払額</t>
        </is>
      </c>
      <c r="B22" s="61">
        <f>SUMIFS($G$6:$G$53,$J$6:$J$53,'設定'!$B$3)+SUMIFS($G$6:$G$53,$J$6:$J$53,"共有")*'設定'!$B$5/100</f>
        <v/>
      </c>
      <c r="C22" s="62">
        <f>SUMIFS($G$6:$G$53,$J$6:$J$53,'設定'!$B$4)+SUMIFS($G$6:$G$53,$J$6:$J$53,"共有")*'設定'!$B$6/100</f>
        <v/>
      </c>
      <c r="D22" s="44" t="n"/>
      <c r="E22" s="31" t="n"/>
      <c r="F22" s="31" t="n"/>
      <c r="G22" s="32" t="n"/>
      <c r="H22" s="31" t="n"/>
      <c r="I22" s="31" t="n"/>
      <c r="J22" s="31">
        <f>IFERROR(VLOOKUP(H22,'設定'!$A$11:$B$30,2,FALSE),"")</f>
        <v/>
      </c>
      <c r="K22" s="31">
        <f>IFERROR(VLOOKUP(H22,'設定'!$A$11:$C$30,3,FALSE),"")</f>
        <v/>
      </c>
      <c r="L22" s="32">
        <f>IF(G22="","",IF(I22='設定'!$E$2,G22*'設定'!$B$5/100,IF(I22='設定'!$E$3,G22,IF(I22='設定'!$E$4,0,0))))</f>
        <v/>
      </c>
      <c r="M22" s="32">
        <f>IF(G22="","",IF(I22='設定'!$E$2,G22*'設定'!$B$6/100,IF(I22='設定'!$E$4,G22,IF(I22='設定'!$E$3,0,0))))</f>
        <v/>
      </c>
      <c r="N22" s="31" t="n"/>
    </row>
    <row r="23" ht="15.75" customHeight="1" s="78">
      <c r="A23" s="60" t="inlineStr">
        <is>
          <t>本来負担額</t>
        </is>
      </c>
      <c r="B23" s="61">
        <f>SUM(L6:L53)</f>
        <v/>
      </c>
      <c r="C23" s="62">
        <f>SUM(M6:M53)</f>
        <v/>
      </c>
      <c r="D23" s="44" t="n"/>
      <c r="E23" s="31" t="n"/>
      <c r="F23" s="31" t="n"/>
      <c r="G23" s="32" t="n"/>
      <c r="H23" s="31" t="n"/>
      <c r="I23" s="31" t="n"/>
      <c r="J23" s="31">
        <f>IFERROR(VLOOKUP(H23,'設定'!$A$11:$B$30,2,FALSE),"")</f>
        <v/>
      </c>
      <c r="K23" s="31">
        <f>IFERROR(VLOOKUP(H23,'設定'!$A$11:$C$30,3,FALSE),"")</f>
        <v/>
      </c>
      <c r="L23" s="32">
        <f>IF(G23="","",IF(I23='設定'!$E$2,G23*'設定'!$B$5/100,IF(I23='設定'!$E$3,G23,IF(I23='設定'!$E$4,0,0))))</f>
        <v/>
      </c>
      <c r="M23" s="32">
        <f>IF(G23="","",IF(I23='設定'!$E$2,G23*'設定'!$B$6/100,IF(I23='設定'!$E$4,G23,IF(I23='設定'!$E$3,0,0))))</f>
        <v/>
      </c>
      <c r="N23" s="31" t="n"/>
    </row>
    <row r="24" ht="15.75" customHeight="1" s="78">
      <c r="A24" s="46" t="inlineStr">
        <is>
          <t>過不足</t>
        </is>
      </c>
      <c r="B24" s="47">
        <f>B22-B23</f>
        <v/>
      </c>
      <c r="C24" s="63">
        <f>C22-C23</f>
        <v/>
      </c>
      <c r="D24" s="44" t="n"/>
      <c r="E24" s="31" t="n"/>
      <c r="F24" s="31" t="n"/>
      <c r="G24" s="32" t="n"/>
      <c r="H24" s="31" t="n"/>
      <c r="I24" s="31" t="n"/>
      <c r="J24" s="31">
        <f>IFERROR(VLOOKUP(H24,'設定'!$A$11:$B$30,2,FALSE),"")</f>
        <v/>
      </c>
      <c r="K24" s="31">
        <f>IFERROR(VLOOKUP(H24,'設定'!$A$11:$C$30,3,FALSE),"")</f>
        <v/>
      </c>
      <c r="L24" s="32">
        <f>IF(G24="","",IF(I24='設定'!$E$2,G24*'設定'!$B$5/100,IF(I24='設定'!$E$3,G24,IF(I24='設定'!$E$4,0,0))))</f>
        <v/>
      </c>
      <c r="M24" s="32">
        <f>IF(G24="","",IF(I24='設定'!$E$2,G24*'設定'!$B$6/100,IF(I24='設定'!$E$4,G24,IF(I24='設定'!$E$3,0,0))))</f>
        <v/>
      </c>
      <c r="N24" s="31" t="n"/>
    </row>
    <row r="25" ht="15.75" customHeight="1" s="78">
      <c r="A25" s="49" t="n"/>
      <c r="B25" s="50" t="n"/>
      <c r="C25" s="50" t="n"/>
      <c r="D25" s="44" t="n"/>
      <c r="E25" s="31" t="n"/>
      <c r="F25" s="31" t="n"/>
      <c r="G25" s="32" t="n"/>
      <c r="H25" s="31" t="n"/>
      <c r="I25" s="31" t="n"/>
      <c r="J25" s="31">
        <f>IFERROR(VLOOKUP(H25,'設定'!$A$11:$B$30,2,FALSE),"")</f>
        <v/>
      </c>
      <c r="K25" s="31">
        <f>IFERROR(VLOOKUP(H25,'設定'!$A$11:$C$30,3,FALSE),"")</f>
        <v/>
      </c>
      <c r="L25" s="32">
        <f>IF(G25="","",IF(I25='設定'!$E$2,G25*'設定'!$B$5/100,IF(I25='設定'!$E$3,G25,IF(I25='設定'!$E$4,0,0))))</f>
        <v/>
      </c>
      <c r="M25" s="32">
        <f>IF(G25="","",IF(I25='設定'!$E$2,G25*'設定'!$B$6/100,IF(I25='設定'!$E$4,G25,IF(I25='設定'!$E$3,0,0))))</f>
        <v/>
      </c>
      <c r="N25" s="31" t="n"/>
    </row>
    <row r="26" ht="15.75" customHeight="1" s="78">
      <c r="A26" s="64" t="inlineStr">
        <is>
          <t>💌 精算結果</t>
        </is>
      </c>
      <c r="B26" s="65">
        <f>IF(B24&gt;0.5,'設定'!$B$4&amp;" → "&amp;'設定'!$B$3&amp;" へ "&amp;TEXT(B24,"#,##0")&amp;" 円",IF(B24&lt;-0.5,'設定'!$B$3&amp;" → "&amp;'設定'!$B$4&amp;" へ "&amp;TEXT(-B24,"#,##0")&amp;" 円","✨ 精算不要"))</f>
        <v/>
      </c>
      <c r="D26" s="66" t="n"/>
      <c r="E26" s="31" t="n"/>
      <c r="F26" s="31" t="n"/>
      <c r="G26" s="32" t="n"/>
      <c r="H26" s="31" t="n"/>
      <c r="I26" s="31" t="n"/>
      <c r="J26" s="31">
        <f>IFERROR(VLOOKUP(H26,'設定'!$A$11:$B$30,2,FALSE),"")</f>
        <v/>
      </c>
      <c r="K26" s="31">
        <f>IFERROR(VLOOKUP(H26,'設定'!$A$11:$C$30,3,FALSE),"")</f>
        <v/>
      </c>
      <c r="L26" s="32">
        <f>IF(G26="","",IF(I26='設定'!$E$2,G26*'設定'!$B$5/100,IF(I26='設定'!$E$3,G26,IF(I26='設定'!$E$4,0,0))))</f>
        <v/>
      </c>
      <c r="M26" s="32">
        <f>IF(G26="","",IF(I26='設定'!$E$2,G26*'設定'!$B$6/100,IF(I26='設定'!$E$4,G26,IF(I26='設定'!$E$3,0,0))))</f>
        <v/>
      </c>
      <c r="N26" s="31" t="n"/>
    </row>
    <row r="27" ht="15.75" customHeight="1" s="78">
      <c r="E27" s="31" t="n"/>
      <c r="F27" s="31" t="n"/>
      <c r="G27" s="32" t="n"/>
      <c r="H27" s="31" t="n"/>
      <c r="I27" s="31" t="n"/>
      <c r="J27" s="31">
        <f>IFERROR(VLOOKUP(H27,'設定'!$A$11:$B$30,2,FALSE),"")</f>
        <v/>
      </c>
      <c r="K27" s="31">
        <f>IFERROR(VLOOKUP(H27,'設定'!$A$11:$C$30,3,FALSE),"")</f>
        <v/>
      </c>
      <c r="L27" s="32">
        <f>IF(G27="","",IF(I27='設定'!$E$2,G27*'設定'!$B$5/100,IF(I27='設定'!$E$3,G27,IF(I27='設定'!$E$4,0,0))))</f>
        <v/>
      </c>
      <c r="M27" s="32">
        <f>IF(G27="","",IF(I27='設定'!$E$2,G27*'設定'!$B$6/100,IF(I27='設定'!$E$4,G27,IF(I27='設定'!$E$3,0,0))))</f>
        <v/>
      </c>
      <c r="N27" s="31" t="n"/>
    </row>
    <row r="28" ht="15.75" customHeight="1" s="78">
      <c r="E28" s="31" t="n"/>
      <c r="F28" s="31" t="n"/>
      <c r="G28" s="32" t="n"/>
      <c r="H28" s="31" t="n"/>
      <c r="I28" s="31" t="n"/>
      <c r="J28" s="31">
        <f>IFERROR(VLOOKUP(H28,'設定'!$A$11:$B$30,2,FALSE),"")</f>
        <v/>
      </c>
      <c r="K28" s="31">
        <f>IFERROR(VLOOKUP(H28,'設定'!$A$11:$C$30,3,FALSE),"")</f>
        <v/>
      </c>
      <c r="L28" s="32">
        <f>IF(G28="","",IF(I28='設定'!$E$2,G28*'設定'!$B$5/100,IF(I28='設定'!$E$3,G28,IF(I28='設定'!$E$4,0,0))))</f>
        <v/>
      </c>
      <c r="M28" s="32">
        <f>IF(G28="","",IF(I28='設定'!$E$2,G28*'設定'!$B$6/100,IF(I28='設定'!$E$4,G28,IF(I28='設定'!$E$3,0,0))))</f>
        <v/>
      </c>
      <c r="N28" s="31" t="n"/>
    </row>
    <row r="29" ht="15.75" customHeight="1" s="78">
      <c r="E29" s="31" t="n"/>
      <c r="F29" s="31" t="n"/>
      <c r="G29" s="32" t="n"/>
      <c r="H29" s="31" t="n"/>
      <c r="I29" s="31" t="n"/>
      <c r="J29" s="31">
        <f>IFERROR(VLOOKUP(H29,'設定'!$A$11:$B$30,2,FALSE),"")</f>
        <v/>
      </c>
      <c r="K29" s="31">
        <f>IFERROR(VLOOKUP(H29,'設定'!$A$11:$C$30,3,FALSE),"")</f>
        <v/>
      </c>
      <c r="L29" s="32">
        <f>IF(G29="","",IF(I29='設定'!$E$2,G29*'設定'!$B$5/100,IF(I29='設定'!$E$3,G29,IF(I29='設定'!$E$4,0,0))))</f>
        <v/>
      </c>
      <c r="M29" s="32">
        <f>IF(G29="","",IF(I29='設定'!$E$2,G29*'設定'!$B$6/100,IF(I29='設定'!$E$4,G29,IF(I29='設定'!$E$3,0,0))))</f>
        <v/>
      </c>
      <c r="N29" s="31" t="n"/>
    </row>
    <row r="30" ht="15.75" customHeight="1" s="78">
      <c r="E30" s="31" t="n"/>
      <c r="F30" s="31" t="n"/>
      <c r="G30" s="32" t="n"/>
      <c r="H30" s="31" t="n"/>
      <c r="I30" s="31" t="n"/>
      <c r="J30" s="31">
        <f>IFERROR(VLOOKUP(H30,'設定'!$A$11:$B$30,2,FALSE),"")</f>
        <v/>
      </c>
      <c r="K30" s="31">
        <f>IFERROR(VLOOKUP(H30,'設定'!$A$11:$C$30,3,FALSE),"")</f>
        <v/>
      </c>
      <c r="L30" s="32">
        <f>IF(G30="","",IF(I30='設定'!$E$2,G30*'設定'!$B$5/100,IF(I30='設定'!$E$3,G30,IF(I30='設定'!$E$4,0,0))))</f>
        <v/>
      </c>
      <c r="M30" s="32">
        <f>IF(G30="","",IF(I30='設定'!$E$2,G30*'設定'!$B$6/100,IF(I30='設定'!$E$4,G30,IF(I30='設定'!$E$3,0,0))))</f>
        <v/>
      </c>
      <c r="N30" s="31" t="n"/>
    </row>
    <row r="31" ht="15.75" customHeight="1" s="78">
      <c r="E31" s="31" t="n"/>
      <c r="F31" s="31" t="n"/>
      <c r="G31" s="32" t="n"/>
      <c r="H31" s="31" t="n"/>
      <c r="I31" s="31" t="n"/>
      <c r="J31" s="31">
        <f>IFERROR(VLOOKUP(H31,'設定'!$A$11:$B$30,2,FALSE),"")</f>
        <v/>
      </c>
      <c r="K31" s="31">
        <f>IFERROR(VLOOKUP(H31,'設定'!$A$11:$C$30,3,FALSE),"")</f>
        <v/>
      </c>
      <c r="L31" s="32">
        <f>IF(G31="","",IF(I31='設定'!$E$2,G31*'設定'!$B$5/100,IF(I31='設定'!$E$3,G31,IF(I31='設定'!$E$4,0,0))))</f>
        <v/>
      </c>
      <c r="M31" s="32">
        <f>IF(G31="","",IF(I31='設定'!$E$2,G31*'設定'!$B$6/100,IF(I31='設定'!$E$4,G31,IF(I31='設定'!$E$3,0,0))))</f>
        <v/>
      </c>
      <c r="N31" s="31" t="n"/>
    </row>
    <row r="32" ht="15.75" customHeight="1" s="78">
      <c r="E32" s="31" t="n"/>
      <c r="F32" s="31" t="n"/>
      <c r="G32" s="32" t="n"/>
      <c r="H32" s="31" t="n"/>
      <c r="I32" s="31" t="n"/>
      <c r="J32" s="31">
        <f>IFERROR(VLOOKUP(H32,'設定'!$A$11:$B$30,2,FALSE),"")</f>
        <v/>
      </c>
      <c r="K32" s="31">
        <f>IFERROR(VLOOKUP(H32,'設定'!$A$11:$C$30,3,FALSE),"")</f>
        <v/>
      </c>
      <c r="L32" s="32">
        <f>IF(G32="","",IF(I32='設定'!$E$2,G32*'設定'!$B$5/100,IF(I32='設定'!$E$3,G32,IF(I32='設定'!$E$4,0,0))))</f>
        <v/>
      </c>
      <c r="M32" s="32">
        <f>IF(G32="","",IF(I32='設定'!$E$2,G32*'設定'!$B$6/100,IF(I32='設定'!$E$4,G32,IF(I32='設定'!$E$3,0,0))))</f>
        <v/>
      </c>
      <c r="N32" s="31" t="n"/>
    </row>
    <row r="33" ht="15.75" customHeight="1" s="78">
      <c r="E33" s="31" t="n"/>
      <c r="F33" s="31" t="n"/>
      <c r="G33" s="32" t="n"/>
      <c r="H33" s="31" t="n"/>
      <c r="I33" s="31" t="n"/>
      <c r="J33" s="31">
        <f>IFERROR(VLOOKUP(H33,'設定'!$A$11:$B$30,2,FALSE),"")</f>
        <v/>
      </c>
      <c r="K33" s="31">
        <f>IFERROR(VLOOKUP(H33,'設定'!$A$11:$C$30,3,FALSE),"")</f>
        <v/>
      </c>
      <c r="L33" s="32">
        <f>IF(G33="","",IF(I33='設定'!$E$2,G33*'設定'!$B$5/100,IF(I33='設定'!$E$3,G33,IF(I33='設定'!$E$4,0,0))))</f>
        <v/>
      </c>
      <c r="M33" s="32">
        <f>IF(G33="","",IF(I33='設定'!$E$2,G33*'設定'!$B$6/100,IF(I33='設定'!$E$4,G33,IF(I33='設定'!$E$3,0,0))))</f>
        <v/>
      </c>
      <c r="N33" s="31" t="n"/>
    </row>
    <row r="34" ht="15.75" customHeight="1" s="78">
      <c r="E34" s="31" t="n"/>
      <c r="F34" s="31" t="n"/>
      <c r="G34" s="32" t="n"/>
      <c r="H34" s="31" t="n"/>
      <c r="I34" s="31" t="n"/>
      <c r="J34" s="31">
        <f>IFERROR(VLOOKUP(H34,'設定'!$A$11:$B$30,2,FALSE),"")</f>
        <v/>
      </c>
      <c r="K34" s="31">
        <f>IFERROR(VLOOKUP(H34,'設定'!$A$11:$C$30,3,FALSE),"")</f>
        <v/>
      </c>
      <c r="L34" s="32">
        <f>IF(G34="","",IF(I34='設定'!$E$2,G34*'設定'!$B$5/100,IF(I34='設定'!$E$3,G34,IF(I34='設定'!$E$4,0,0))))</f>
        <v/>
      </c>
      <c r="M34" s="32">
        <f>IF(G34="","",IF(I34='設定'!$E$2,G34*'設定'!$B$6/100,IF(I34='設定'!$E$4,G34,IF(I34='設定'!$E$3,0,0))))</f>
        <v/>
      </c>
      <c r="N34" s="31" t="n"/>
    </row>
    <row r="35" ht="15.75" customHeight="1" s="78">
      <c r="E35" s="31" t="n"/>
      <c r="F35" s="31" t="n"/>
      <c r="G35" s="32" t="n"/>
      <c r="H35" s="31" t="n"/>
      <c r="I35" s="31" t="n"/>
      <c r="J35" s="31">
        <f>IFERROR(VLOOKUP(H35,'設定'!$A$11:$B$30,2,FALSE),"")</f>
        <v/>
      </c>
      <c r="K35" s="31">
        <f>IFERROR(VLOOKUP(H35,'設定'!$A$11:$C$30,3,FALSE),"")</f>
        <v/>
      </c>
      <c r="L35" s="32">
        <f>IF(G35="","",IF(I35='設定'!$E$2,G35*'設定'!$B$5/100,IF(I35='設定'!$E$3,G35,IF(I35='設定'!$E$4,0,0))))</f>
        <v/>
      </c>
      <c r="M35" s="32">
        <f>IF(G35="","",IF(I35='設定'!$E$2,G35*'設定'!$B$6/100,IF(I35='設定'!$E$4,G35,IF(I35='設定'!$E$3,0,0))))</f>
        <v/>
      </c>
      <c r="N35" s="31" t="n"/>
    </row>
    <row r="36" ht="15.75" customHeight="1" s="78">
      <c r="E36" s="31" t="n"/>
      <c r="F36" s="31" t="n"/>
      <c r="G36" s="32" t="n"/>
      <c r="H36" s="31" t="n"/>
      <c r="I36" s="31" t="n"/>
      <c r="J36" s="31">
        <f>IFERROR(VLOOKUP(H36,'設定'!$A$11:$B$30,2,FALSE),"")</f>
        <v/>
      </c>
      <c r="K36" s="31">
        <f>IFERROR(VLOOKUP(H36,'設定'!$A$11:$C$30,3,FALSE),"")</f>
        <v/>
      </c>
      <c r="L36" s="32">
        <f>IF(G36="","",IF(I36='設定'!$E$2,G36*'設定'!$B$5/100,IF(I36='設定'!$E$3,G36,IF(I36='設定'!$E$4,0,0))))</f>
        <v/>
      </c>
      <c r="M36" s="32">
        <f>IF(G36="","",IF(I36='設定'!$E$2,G36*'設定'!$B$6/100,IF(I36='設定'!$E$4,G36,IF(I36='設定'!$E$3,0,0))))</f>
        <v/>
      </c>
      <c r="N36" s="31" t="n"/>
    </row>
    <row r="37" ht="15.75" customHeight="1" s="78">
      <c r="E37" s="31" t="n"/>
      <c r="F37" s="31" t="n"/>
      <c r="G37" s="32" t="n"/>
      <c r="H37" s="31" t="n"/>
      <c r="I37" s="31" t="n"/>
      <c r="J37" s="31">
        <f>IFERROR(VLOOKUP(H37,'設定'!$A$11:$B$30,2,FALSE),"")</f>
        <v/>
      </c>
      <c r="K37" s="31">
        <f>IFERROR(VLOOKUP(H37,'設定'!$A$11:$C$30,3,FALSE),"")</f>
        <v/>
      </c>
      <c r="L37" s="32">
        <f>IF(G37="","",IF(I37='設定'!$E$2,G37*'設定'!$B$5/100,IF(I37='設定'!$E$3,G37,IF(I37='設定'!$E$4,0,0))))</f>
        <v/>
      </c>
      <c r="M37" s="32">
        <f>IF(G37="","",IF(I37='設定'!$E$2,G37*'設定'!$B$6/100,IF(I37='設定'!$E$4,G37,IF(I37='設定'!$E$3,0,0))))</f>
        <v/>
      </c>
      <c r="N37" s="31" t="n"/>
    </row>
    <row r="38" ht="15.75" customHeight="1" s="78">
      <c r="E38" s="31" t="n"/>
      <c r="F38" s="31" t="n"/>
      <c r="G38" s="32" t="n"/>
      <c r="H38" s="31" t="n"/>
      <c r="I38" s="31" t="n"/>
      <c r="J38" s="31">
        <f>IFERROR(VLOOKUP(H38,'設定'!$A$11:$B$30,2,FALSE),"")</f>
        <v/>
      </c>
      <c r="K38" s="31">
        <f>IFERROR(VLOOKUP(H38,'設定'!$A$11:$C$30,3,FALSE),"")</f>
        <v/>
      </c>
      <c r="L38" s="32">
        <f>IF(G38="","",IF(I38='設定'!$E$2,G38*'設定'!$B$5/100,IF(I38='設定'!$E$3,G38,IF(I38='設定'!$E$4,0,0))))</f>
        <v/>
      </c>
      <c r="M38" s="32">
        <f>IF(G38="","",IF(I38='設定'!$E$2,G38*'設定'!$B$6/100,IF(I38='設定'!$E$4,G38,IF(I38='設定'!$E$3,0,0))))</f>
        <v/>
      </c>
      <c r="N38" s="31" t="n"/>
    </row>
    <row r="39" ht="15.75" customHeight="1" s="78">
      <c r="E39" s="31" t="n"/>
      <c r="F39" s="31" t="n"/>
      <c r="G39" s="32" t="n"/>
      <c r="H39" s="31" t="n"/>
      <c r="I39" s="31" t="n"/>
      <c r="J39" s="31">
        <f>IFERROR(VLOOKUP(H39,'設定'!$A$11:$B$30,2,FALSE),"")</f>
        <v/>
      </c>
      <c r="K39" s="31">
        <f>IFERROR(VLOOKUP(H39,'設定'!$A$11:$C$30,3,FALSE),"")</f>
        <v/>
      </c>
      <c r="L39" s="32">
        <f>IF(G39="","",IF(I39='設定'!$E$2,G39*'設定'!$B$5/100,IF(I39='設定'!$E$3,G39,IF(I39='設定'!$E$4,0,0))))</f>
        <v/>
      </c>
      <c r="M39" s="32">
        <f>IF(G39="","",IF(I39='設定'!$E$2,G39*'設定'!$B$6/100,IF(I39='設定'!$E$4,G39,IF(I39='設定'!$E$3,0,0))))</f>
        <v/>
      </c>
      <c r="N39" s="31" t="n"/>
    </row>
    <row r="40" ht="15.75" customHeight="1" s="78">
      <c r="E40" s="31" t="n"/>
      <c r="F40" s="31" t="n"/>
      <c r="G40" s="32" t="n"/>
      <c r="H40" s="31" t="n"/>
      <c r="I40" s="31" t="n"/>
      <c r="J40" s="31">
        <f>IFERROR(VLOOKUP(H40,'設定'!$A$11:$B$30,2,FALSE),"")</f>
        <v/>
      </c>
      <c r="K40" s="31">
        <f>IFERROR(VLOOKUP(H40,'設定'!$A$11:$C$30,3,FALSE),"")</f>
        <v/>
      </c>
      <c r="L40" s="32">
        <f>IF(G40="","",IF(I40='設定'!$E$2,G40*'設定'!$B$5/100,IF(I40='設定'!$E$3,G40,IF(I40='設定'!$E$4,0,0))))</f>
        <v/>
      </c>
      <c r="M40" s="32">
        <f>IF(G40="","",IF(I40='設定'!$E$2,G40*'設定'!$B$6/100,IF(I40='設定'!$E$4,G40,IF(I40='設定'!$E$3,0,0))))</f>
        <v/>
      </c>
      <c r="N40" s="31" t="n"/>
    </row>
    <row r="41" ht="15.75" customHeight="1" s="78">
      <c r="E41" s="31" t="n"/>
      <c r="F41" s="31" t="n"/>
      <c r="G41" s="32" t="n"/>
      <c r="H41" s="31" t="n"/>
      <c r="I41" s="31" t="n"/>
      <c r="J41" s="31">
        <f>IFERROR(VLOOKUP(H41,'設定'!$A$11:$B$30,2,FALSE),"")</f>
        <v/>
      </c>
      <c r="K41" s="31">
        <f>IFERROR(VLOOKUP(H41,'設定'!$A$11:$C$30,3,FALSE),"")</f>
        <v/>
      </c>
      <c r="L41" s="32">
        <f>IF(G41="","",IF(I41='設定'!$E$2,G41*'設定'!$B$5/100,IF(I41='設定'!$E$3,G41,IF(I41='設定'!$E$4,0,0))))</f>
        <v/>
      </c>
      <c r="M41" s="32">
        <f>IF(G41="","",IF(I41='設定'!$E$2,G41*'設定'!$B$6/100,IF(I41='設定'!$E$4,G41,IF(I41='設定'!$E$3,0,0))))</f>
        <v/>
      </c>
      <c r="N41" s="31" t="n"/>
    </row>
    <row r="42" ht="15.75" customHeight="1" s="78">
      <c r="E42" s="31" t="n"/>
      <c r="F42" s="31" t="n"/>
      <c r="G42" s="32" t="n"/>
      <c r="H42" s="31" t="n"/>
      <c r="I42" s="31" t="n"/>
      <c r="J42" s="31">
        <f>IFERROR(VLOOKUP(H42,'設定'!$A$11:$B$30,2,FALSE),"")</f>
        <v/>
      </c>
      <c r="K42" s="31">
        <f>IFERROR(VLOOKUP(H42,'設定'!$A$11:$C$30,3,FALSE),"")</f>
        <v/>
      </c>
      <c r="L42" s="32">
        <f>IF(G42="","",IF(I42='設定'!$E$2,G42*'設定'!$B$5/100,IF(I42='設定'!$E$3,G42,IF(I42='設定'!$E$4,0,0))))</f>
        <v/>
      </c>
      <c r="M42" s="32">
        <f>IF(G42="","",IF(I42='設定'!$E$2,G42*'設定'!$B$6/100,IF(I42='設定'!$E$4,G42,IF(I42='設定'!$E$3,0,0))))</f>
        <v/>
      </c>
      <c r="N42" s="31" t="n"/>
    </row>
    <row r="43" ht="15.75" customHeight="1" s="78">
      <c r="E43" s="31" t="n"/>
      <c r="F43" s="31" t="n"/>
      <c r="G43" s="32" t="n"/>
      <c r="H43" s="31" t="n"/>
      <c r="I43" s="31" t="n"/>
      <c r="J43" s="31">
        <f>IFERROR(VLOOKUP(H43,'設定'!$A$11:$B$30,2,FALSE),"")</f>
        <v/>
      </c>
      <c r="K43" s="31">
        <f>IFERROR(VLOOKUP(H43,'設定'!$A$11:$C$30,3,FALSE),"")</f>
        <v/>
      </c>
      <c r="L43" s="32">
        <f>IF(G43="","",IF(I43='設定'!$E$2,G43*'設定'!$B$5/100,IF(I43='設定'!$E$3,G43,IF(I43='設定'!$E$4,0,0))))</f>
        <v/>
      </c>
      <c r="M43" s="32">
        <f>IF(G43="","",IF(I43='設定'!$E$2,G43*'設定'!$B$6/100,IF(I43='設定'!$E$4,G43,IF(I43='設定'!$E$3,0,0))))</f>
        <v/>
      </c>
      <c r="N43" s="31" t="n"/>
    </row>
    <row r="44" ht="15.75" customHeight="1" s="78">
      <c r="E44" s="31" t="n"/>
      <c r="F44" s="31" t="n"/>
      <c r="G44" s="32" t="n"/>
      <c r="H44" s="31" t="n"/>
      <c r="I44" s="31" t="n"/>
      <c r="J44" s="31">
        <f>IFERROR(VLOOKUP(H44,'設定'!$A$11:$B$30,2,FALSE),"")</f>
        <v/>
      </c>
      <c r="K44" s="31">
        <f>IFERROR(VLOOKUP(H44,'設定'!$A$11:$C$30,3,FALSE),"")</f>
        <v/>
      </c>
      <c r="L44" s="32">
        <f>IF(G44="","",IF(I44='設定'!$E$2,G44*'設定'!$B$5/100,IF(I44='設定'!$E$3,G44,IF(I44='設定'!$E$4,0,0))))</f>
        <v/>
      </c>
      <c r="M44" s="32">
        <f>IF(G44="","",IF(I44='設定'!$E$2,G44*'設定'!$B$6/100,IF(I44='設定'!$E$4,G44,IF(I44='設定'!$E$3,0,0))))</f>
        <v/>
      </c>
      <c r="N44" s="31" t="n"/>
    </row>
    <row r="45" ht="15.75" customHeight="1" s="78">
      <c r="E45" s="31" t="n"/>
      <c r="F45" s="31" t="n"/>
      <c r="G45" s="32" t="n"/>
      <c r="H45" s="31" t="n"/>
      <c r="I45" s="31" t="n"/>
      <c r="J45" s="31">
        <f>IFERROR(VLOOKUP(H45,'設定'!$A$11:$B$30,2,FALSE),"")</f>
        <v/>
      </c>
      <c r="K45" s="31">
        <f>IFERROR(VLOOKUP(H45,'設定'!$A$11:$C$30,3,FALSE),"")</f>
        <v/>
      </c>
      <c r="L45" s="32">
        <f>IF(G45="","",IF(I45='設定'!$E$2,G45*'設定'!$B$5/100,IF(I45='設定'!$E$3,G45,IF(I45='設定'!$E$4,0,0))))</f>
        <v/>
      </c>
      <c r="M45" s="32">
        <f>IF(G45="","",IF(I45='設定'!$E$2,G45*'設定'!$B$6/100,IF(I45='設定'!$E$4,G45,IF(I45='設定'!$E$3,0,0))))</f>
        <v/>
      </c>
      <c r="N45" s="31" t="n"/>
    </row>
    <row r="46" ht="15.75" customHeight="1" s="78">
      <c r="E46" s="31" t="n"/>
      <c r="F46" s="31" t="n"/>
      <c r="G46" s="32" t="n"/>
      <c r="H46" s="31" t="n"/>
      <c r="I46" s="31" t="n"/>
      <c r="J46" s="31">
        <f>IFERROR(VLOOKUP(H46,'設定'!$A$11:$B$30,2,FALSE),"")</f>
        <v/>
      </c>
      <c r="K46" s="31">
        <f>IFERROR(VLOOKUP(H46,'設定'!$A$11:$C$30,3,FALSE),"")</f>
        <v/>
      </c>
      <c r="L46" s="32">
        <f>IF(G46="","",IF(I46='設定'!$E$2,G46*'設定'!$B$5/100,IF(I46='設定'!$E$3,G46,IF(I46='設定'!$E$4,0,0))))</f>
        <v/>
      </c>
      <c r="M46" s="32">
        <f>IF(G46="","",IF(I46='設定'!$E$2,G46*'設定'!$B$6/100,IF(I46='設定'!$E$4,G46,IF(I46='設定'!$E$3,0,0))))</f>
        <v/>
      </c>
      <c r="N46" s="31" t="n"/>
    </row>
    <row r="47" ht="15.75" customHeight="1" s="78">
      <c r="E47" s="31" t="n"/>
      <c r="F47" s="31" t="n"/>
      <c r="G47" s="32" t="n"/>
      <c r="H47" s="31" t="n"/>
      <c r="I47" s="31" t="n"/>
      <c r="J47" s="31">
        <f>IFERROR(VLOOKUP(H47,'設定'!$A$11:$B$30,2,FALSE),"")</f>
        <v/>
      </c>
      <c r="K47" s="31">
        <f>IFERROR(VLOOKUP(H47,'設定'!$A$11:$C$30,3,FALSE),"")</f>
        <v/>
      </c>
      <c r="L47" s="32">
        <f>IF(G47="","",IF(I47='設定'!$E$2,G47*'設定'!$B$5/100,IF(I47='設定'!$E$3,G47,IF(I47='設定'!$E$4,0,0))))</f>
        <v/>
      </c>
      <c r="M47" s="32">
        <f>IF(G47="","",IF(I47='設定'!$E$2,G47*'設定'!$B$6/100,IF(I47='設定'!$E$4,G47,IF(I47='設定'!$E$3,0,0))))</f>
        <v/>
      </c>
      <c r="N47" s="31" t="n"/>
    </row>
    <row r="48" ht="15.75" customHeight="1" s="78">
      <c r="E48" s="31" t="n"/>
      <c r="F48" s="31" t="n"/>
      <c r="G48" s="32" t="n"/>
      <c r="H48" s="31" t="n"/>
      <c r="I48" s="31" t="n"/>
      <c r="J48" s="31">
        <f>IFERROR(VLOOKUP(H48,'設定'!$A$11:$B$30,2,FALSE),"")</f>
        <v/>
      </c>
      <c r="K48" s="31">
        <f>IFERROR(VLOOKUP(H48,'設定'!$A$11:$C$30,3,FALSE),"")</f>
        <v/>
      </c>
      <c r="L48" s="32">
        <f>IF(G48="","",IF(I48='設定'!$E$2,G48*'設定'!$B$5/100,IF(I48='設定'!$E$3,G48,IF(I48='設定'!$E$4,0,0))))</f>
        <v/>
      </c>
      <c r="M48" s="32">
        <f>IF(G48="","",IF(I48='設定'!$E$2,G48*'設定'!$B$6/100,IF(I48='設定'!$E$4,G48,IF(I48='設定'!$E$3,0,0))))</f>
        <v/>
      </c>
      <c r="N48" s="31" t="n"/>
    </row>
    <row r="49" ht="15.75" customHeight="1" s="78">
      <c r="E49" s="31" t="n"/>
      <c r="F49" s="31" t="n"/>
      <c r="G49" s="32" t="n"/>
      <c r="H49" s="31" t="n"/>
      <c r="I49" s="31" t="n"/>
      <c r="J49" s="31">
        <f>IFERROR(VLOOKUP(H49,'設定'!$A$11:$B$30,2,FALSE),"")</f>
        <v/>
      </c>
      <c r="K49" s="31">
        <f>IFERROR(VLOOKUP(H49,'設定'!$A$11:$C$30,3,FALSE),"")</f>
        <v/>
      </c>
      <c r="L49" s="32">
        <f>IF(G49="","",IF(I49='設定'!$E$2,G49*'設定'!$B$5/100,IF(I49='設定'!$E$3,G49,IF(I49='設定'!$E$4,0,0))))</f>
        <v/>
      </c>
      <c r="M49" s="32">
        <f>IF(G49="","",IF(I49='設定'!$E$2,G49*'設定'!$B$6/100,IF(I49='設定'!$E$4,G49,IF(I49='設定'!$E$3,0,0))))</f>
        <v/>
      </c>
      <c r="N49" s="31" t="n"/>
    </row>
    <row r="50" ht="15.75" customHeight="1" s="78">
      <c r="E50" s="31" t="n"/>
      <c r="F50" s="31" t="n"/>
      <c r="G50" s="32" t="n"/>
      <c r="H50" s="31" t="n"/>
      <c r="I50" s="31" t="n"/>
      <c r="J50" s="31">
        <f>IFERROR(VLOOKUP(H50,'設定'!$A$11:$B$30,2,FALSE),"")</f>
        <v/>
      </c>
      <c r="K50" s="31">
        <f>IFERROR(VLOOKUP(H50,'設定'!$A$11:$C$30,3,FALSE),"")</f>
        <v/>
      </c>
      <c r="L50" s="32">
        <f>IF(G50="","",IF(I50='設定'!$E$2,G50*'設定'!$B$5/100,IF(I50='設定'!$E$3,G50,IF(I50='設定'!$E$4,0,0))))</f>
        <v/>
      </c>
      <c r="M50" s="32">
        <f>IF(G50="","",IF(I50='設定'!$E$2,G50*'設定'!$B$6/100,IF(I50='設定'!$E$4,G50,IF(I50='設定'!$E$3,0,0))))</f>
        <v/>
      </c>
      <c r="N50" s="31" t="n"/>
    </row>
    <row r="51" ht="15.75" customHeight="1" s="78">
      <c r="E51" s="31" t="n"/>
      <c r="F51" s="31" t="n"/>
      <c r="G51" s="32" t="n"/>
      <c r="H51" s="31" t="n"/>
      <c r="I51" s="31" t="n"/>
      <c r="J51" s="31">
        <f>IFERROR(VLOOKUP(H51,'設定'!$A$11:$B$30,2,FALSE),"")</f>
        <v/>
      </c>
      <c r="K51" s="31">
        <f>IFERROR(VLOOKUP(H51,'設定'!$A$11:$C$30,3,FALSE),"")</f>
        <v/>
      </c>
      <c r="L51" s="32">
        <f>IF(G51="","",IF(I51='設定'!$E$2,G51*'設定'!$B$5/100,IF(I51='設定'!$E$3,G51,IF(I51='設定'!$E$4,0,0))))</f>
        <v/>
      </c>
      <c r="M51" s="32">
        <f>IF(G51="","",IF(I51='設定'!$E$2,G51*'設定'!$B$6/100,IF(I51='設定'!$E$4,G51,IF(I51='設定'!$E$3,0,0))))</f>
        <v/>
      </c>
      <c r="N51" s="31" t="n"/>
    </row>
    <row r="52" ht="15.75" customHeight="1" s="78">
      <c r="E52" s="31" t="n"/>
      <c r="F52" s="31" t="n"/>
      <c r="G52" s="32" t="n"/>
      <c r="H52" s="31" t="n"/>
      <c r="I52" s="31" t="n"/>
      <c r="J52" s="31">
        <f>IFERROR(VLOOKUP(H52,'設定'!$A$11:$B$30,2,FALSE),"")</f>
        <v/>
      </c>
      <c r="K52" s="31">
        <f>IFERROR(VLOOKUP(H52,'設定'!$A$11:$C$30,3,FALSE),"")</f>
        <v/>
      </c>
      <c r="L52" s="32">
        <f>IF(G52="","",IF(I52='設定'!$E$2,G52*'設定'!$B$5/100,IF(I52='設定'!$E$3,G52,IF(I52='設定'!$E$4,0,0))))</f>
        <v/>
      </c>
      <c r="M52" s="32">
        <f>IF(G52="","",IF(I52='設定'!$E$2,G52*'設定'!$B$6/100,IF(I52='設定'!$E$4,G52,IF(I52='設定'!$E$3,0,0))))</f>
        <v/>
      </c>
      <c r="N52" s="31" t="n"/>
    </row>
    <row r="53" ht="15.75" customHeight="1" s="78">
      <c r="E53" s="31" t="n"/>
      <c r="F53" s="31" t="n"/>
      <c r="G53" s="32" t="n"/>
      <c r="H53" s="31" t="n"/>
      <c r="I53" s="31" t="n"/>
      <c r="J53" s="31">
        <f>IFERROR(VLOOKUP(H53,'設定'!$A$11:$B$30,2,FALSE),"")</f>
        <v/>
      </c>
      <c r="K53" s="31">
        <f>IFERROR(VLOOKUP(H53,'設定'!$A$11:$C$30,3,FALSE),"")</f>
        <v/>
      </c>
      <c r="L53" s="32">
        <f>IF(G53="","",IF(I53='設定'!$E$2,G53*'設定'!$B$5/100,IF(I53='設定'!$E$3,G53,IF(I53='設定'!$E$4,0,0))))</f>
        <v/>
      </c>
      <c r="M53" s="32">
        <f>IF(G53="","",IF(I53='設定'!$E$2,G53*'設定'!$B$6/100,IF(I53='設定'!$E$4,G53,IF(I53='設定'!$E$3,0,0))))</f>
        <v/>
      </c>
      <c r="N53" s="31" t="n"/>
    </row>
  </sheetData>
  <mergeCells count="4">
    <mergeCell ref="E3:N3"/>
    <mergeCell ref="A20:C20"/>
    <mergeCell ref="A3:C3"/>
    <mergeCell ref="B26:C26"/>
  </mergeCells>
  <dataValidations count="3">
    <dataValidation sqref="I6:I53" showDropDown="0" showInputMessage="0" showErrorMessage="1" allowBlank="1" type="list">
      <formula1>'設定'!$E$2:$E$4</formula1>
    </dataValidation>
    <dataValidation sqref="H6:H53" showDropDown="0" showInputMessage="0" showErrorMessage="0" allowBlank="1" type="list">
      <formula1>'設定'!$A$11:$A$30</formula1>
    </dataValidation>
    <dataValidation sqref="E6:E53" showDropDown="0" showInputMessage="0" showErrorMessage="0" allowBlank="1" type="list">
      <formula1>'マスター'!$B$5:$B$16</formula1>
    </dataValidation>
  </dataValidation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5.xml><?xml version="1.0" encoding="utf-8"?>
<worksheet xmlns="http://schemas.openxmlformats.org/spreadsheetml/2006/main">
  <sheetPr>
    <tabColor rgb="FFF1C4CE"/>
    <outlinePr summaryBelow="0" summaryRight="0"/>
    <pageSetUpPr/>
  </sheetPr>
  <dimension ref="A1:K22"/>
  <sheetViews>
    <sheetView workbookViewId="0">
      <selection activeCell="A1" sqref="A1"/>
    </sheetView>
  </sheetViews>
  <sheetFormatPr baseColWidth="8" defaultColWidth="12.63" defaultRowHeight="15.75" customHeight="1"/>
  <cols>
    <col width="27.63" customWidth="1" style="78" min="1" max="2"/>
    <col width="3.88" customWidth="1" style="78" min="3" max="3"/>
    <col width="37.63" customWidth="1" style="78" min="4" max="4"/>
  </cols>
  <sheetData>
    <row r="1" ht="36" customHeight="1" s="78">
      <c r="A1" s="2" t="inlineStr">
        <is>
          <t>設定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>
      <c r="D2" s="77" t="inlineStr">
        <is>
          <t>内部ラベル</t>
        </is>
      </c>
      <c r="E2" s="77" t="inlineStr">
        <is>
          <t>共有</t>
        </is>
      </c>
    </row>
    <row r="3">
      <c r="A3" s="67" t="inlineStr">
        <is>
          <t>人物Aの名前</t>
        </is>
      </c>
      <c r="B3" s="72" t="inlineStr">
        <is>
          <t>Aさん</t>
        </is>
      </c>
      <c r="C3" s="70" t="n"/>
      <c r="D3" s="70" t="inlineStr">
        <is>
          <t>← 自由に変更可</t>
        </is>
      </c>
      <c r="E3" s="77">
        <f>B3&amp;"負担"</f>
        <v/>
      </c>
    </row>
    <row r="4">
      <c r="A4" s="67" t="inlineStr">
        <is>
          <t>人物Bの名前</t>
        </is>
      </c>
      <c r="B4" s="72" t="inlineStr">
        <is>
          <t>Bさん</t>
        </is>
      </c>
      <c r="C4" s="70" t="n"/>
      <c r="D4" s="70" t="inlineStr">
        <is>
          <t>← 自由に変更可</t>
        </is>
      </c>
      <c r="E4" s="77">
        <f>B4&amp;"負担"</f>
        <v/>
      </c>
    </row>
    <row r="5">
      <c r="A5" s="67" t="inlineStr">
        <is>
          <t>人物Aの負担割合 (%)</t>
        </is>
      </c>
      <c r="B5" s="72" t="n">
        <v>60</v>
      </c>
      <c r="C5" s="70" t="n"/>
      <c r="D5" s="70" t="inlineStr">
        <is>
          <t>← 数値のみ入力 (例: 50)</t>
        </is>
      </c>
    </row>
    <row r="6">
      <c r="A6" s="67" t="inlineStr">
        <is>
          <t>人物Bの負担割合 (%)</t>
        </is>
      </c>
      <c r="B6" s="72">
        <f>100-B5</f>
        <v/>
      </c>
      <c r="C6" s="70" t="n"/>
      <c r="D6" s="70" t="inlineStr">
        <is>
          <t>← 自動計算</t>
        </is>
      </c>
    </row>
    <row r="7">
      <c r="A7" s="67" t="inlineStr">
        <is>
          <t>対象年</t>
        </is>
      </c>
      <c r="B7" s="72" t="inlineStr">
        <is>
          <t>202X</t>
        </is>
      </c>
      <c r="C7" s="70" t="n"/>
      <c r="D7" s="70" t="inlineStr">
        <is>
          <t>← 西暦を入力</t>
        </is>
      </c>
    </row>
    <row r="9">
      <c r="A9" s="73" t="inlineStr">
        <is>
          <t>💳 口座・カード一覧</t>
        </is>
      </c>
      <c r="B9" s="73" t="inlineStr"/>
      <c r="C9" s="73" t="inlineStr"/>
      <c r="D9" s="74" t="inlineStr">
        <is>
          <t>← ご自身のカード・口座に書き換えてください</t>
        </is>
      </c>
    </row>
    <row r="10">
      <c r="A10" s="73" t="inlineStr">
        <is>
          <t>口座/カード名</t>
        </is>
      </c>
      <c r="B10" s="73" t="inlineStr">
        <is>
          <t>名義</t>
        </is>
      </c>
      <c r="C10" s="73" t="inlineStr">
        <is>
          <t>引落先</t>
        </is>
      </c>
      <c r="D10" s="73" t="inlineStr">
        <is>
          <t>メモ</t>
        </is>
      </c>
      <c r="E10" s="77" t="inlineStr"/>
    </row>
    <row r="11">
      <c r="A11" s="76" t="inlineStr">
        <is>
          <t>共有クレカ</t>
        </is>
      </c>
      <c r="B11" s="77" t="inlineStr">
        <is>
          <t>共有</t>
        </is>
      </c>
      <c r="C11" s="76" t="inlineStr">
        <is>
          <t>共有口座</t>
        </is>
      </c>
      <c r="D11" s="76" t="inlineStr">
        <is>
          <t>共有のクレカ</t>
        </is>
      </c>
      <c r="E11" s="77" t="inlineStr"/>
    </row>
    <row r="12">
      <c r="A12" s="76" t="inlineStr">
        <is>
          <t>クレカ (Aさん)</t>
        </is>
      </c>
      <c r="B12" s="77">
        <f>'設定'!$B$3</f>
        <v/>
      </c>
      <c r="C12" s="76" t="inlineStr">
        <is>
          <t>口座 (Aさん)</t>
        </is>
      </c>
      <c r="D12" s="76" t="inlineStr">
        <is>
          <t>Aさん個人カード</t>
        </is>
      </c>
      <c r="E12" s="77" t="inlineStr"/>
    </row>
    <row r="13">
      <c r="A13" s="76" t="inlineStr">
        <is>
          <t>クレカ (Bさん)</t>
        </is>
      </c>
      <c r="B13" s="77">
        <f>'設定'!$B$4</f>
        <v/>
      </c>
      <c r="C13" s="76" t="inlineStr">
        <is>
          <t>口座 (Bさん)</t>
        </is>
      </c>
      <c r="D13" s="76" t="inlineStr">
        <is>
          <t>Bさん個人カード</t>
        </is>
      </c>
      <c r="E13" s="77" t="inlineStr"/>
    </row>
    <row r="14">
      <c r="A14" s="76" t="inlineStr">
        <is>
          <t>共有口座</t>
        </is>
      </c>
      <c r="B14" s="77" t="inlineStr">
        <is>
          <t>共有</t>
        </is>
      </c>
      <c r="C14" s="76" t="inlineStr">
        <is>
          <t>共有口座</t>
        </is>
      </c>
      <c r="D14" s="76" t="inlineStr">
        <is>
          <t>家賃・光熱費引落</t>
        </is>
      </c>
      <c r="E14" s="77" t="inlineStr"/>
    </row>
    <row r="15">
      <c r="A15" s="76" t="inlineStr">
        <is>
          <t>口座 (Aさん)</t>
        </is>
      </c>
      <c r="B15" s="77">
        <f>'設定'!$B$3</f>
        <v/>
      </c>
      <c r="C15" s="76" t="inlineStr">
        <is>
          <t>口座 (Aさん)</t>
        </is>
      </c>
      <c r="D15" s="76" t="inlineStr">
        <is>
          <t>Aさんメイン口座</t>
        </is>
      </c>
      <c r="E15" s="77" t="inlineStr"/>
    </row>
    <row r="16">
      <c r="A16" s="76" t="inlineStr">
        <is>
          <t>口座 (Bさん)</t>
        </is>
      </c>
      <c r="B16" s="77">
        <f>'設定'!$B$4</f>
        <v/>
      </c>
      <c r="C16" s="76" t="inlineStr">
        <is>
          <t>口座 (Bさん)</t>
        </is>
      </c>
      <c r="D16" s="76" t="inlineStr">
        <is>
          <t>Bさんメイン口座</t>
        </is>
      </c>
      <c r="E16" s="77" t="inlineStr"/>
    </row>
    <row r="17">
      <c r="A17" s="76" t="inlineStr">
        <is>
          <t>現金 (Aさん)</t>
        </is>
      </c>
      <c r="B17" s="77">
        <f>'設定'!$B$3</f>
        <v/>
      </c>
      <c r="C17" s="76" t="inlineStr">
        <is>
          <t>-</t>
        </is>
      </c>
      <c r="D17" s="76" t="inlineStr">
        <is>
          <t>現金</t>
        </is>
      </c>
      <c r="E17" s="77" t="inlineStr"/>
    </row>
    <row r="18">
      <c r="A18" s="76" t="inlineStr">
        <is>
          <t>現金 (Bさん)</t>
        </is>
      </c>
      <c r="B18" s="77">
        <f>'設定'!$B$4</f>
        <v/>
      </c>
      <c r="C18" s="76" t="inlineStr">
        <is>
          <t>-</t>
        </is>
      </c>
      <c r="D18" s="76" t="inlineStr">
        <is>
          <t>現金</t>
        </is>
      </c>
      <c r="E18" s="77" t="inlineStr"/>
    </row>
    <row r="19">
      <c r="A19" s="77" t="n"/>
      <c r="B19" s="77" t="n"/>
      <c r="C19" s="77" t="n"/>
      <c r="D19" s="77" t="n"/>
    </row>
    <row r="20">
      <c r="A20" s="77" t="n"/>
      <c r="B20" s="77" t="n"/>
      <c r="C20" s="77" t="n"/>
      <c r="D20" s="77" t="n"/>
    </row>
    <row r="21">
      <c r="A21" s="77" t="n"/>
      <c r="B21" s="77" t="n"/>
      <c r="C21" s="77" t="n"/>
      <c r="D21" s="77" t="n"/>
    </row>
    <row r="22">
      <c r="A22" s="77" t="n"/>
      <c r="B22" s="77" t="n"/>
      <c r="C22" s="77" t="n"/>
      <c r="D22" s="77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2026-08-03T13:23:48Z</dcterms:created>
  <dcterms:modified xmlns:dcterms="http://purl.org/dc/terms/" xmlns:xsi="http://www.w3.org/2001/XMLSchema-instance" xsi:type="dcterms:W3CDTF">2026-08-03T13:23:49Z</dcterms:modified>
</cp:coreProperties>
</file>